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quivos diversos\Forum\Materiais de 2018\Diversos\Planilhas Cruesp\"/>
    </mc:Choice>
  </mc:AlternateContent>
  <bookViews>
    <workbookView xWindow="0" yWindow="0" windowWidth="28800" windowHeight="12435"/>
  </bookViews>
  <sheets>
    <sheet name="2017" sheetId="1" r:id="rId1"/>
  </sheets>
  <definedNames>
    <definedName name="_xlnm.Print_Area" localSheetId="0">'2017'!$A$1:$S$81</definedName>
  </definedNames>
  <calcPr calcId="171027" concurrentCalc="0"/>
</workbook>
</file>

<file path=xl/calcChain.xml><?xml version="1.0" encoding="utf-8"?>
<calcChain xmlns="http://schemas.openxmlformats.org/spreadsheetml/2006/main">
  <c r="J26" i="1" l="1"/>
  <c r="R43" i="1"/>
  <c r="F76" i="1"/>
  <c r="F77" i="1"/>
  <c r="F79" i="1"/>
  <c r="F26" i="1"/>
  <c r="D76" i="1"/>
  <c r="D77" i="1"/>
  <c r="D79" i="1"/>
  <c r="D26" i="1"/>
  <c r="I27" i="1"/>
  <c r="J27" i="1"/>
  <c r="H27" i="1"/>
  <c r="F72" i="1"/>
  <c r="F73" i="1"/>
  <c r="F75" i="1"/>
  <c r="F25" i="1"/>
  <c r="E72" i="1"/>
  <c r="E73" i="1"/>
  <c r="E75" i="1"/>
  <c r="E25" i="1"/>
  <c r="E68" i="1"/>
  <c r="P44" i="1"/>
  <c r="N44" i="1"/>
  <c r="D32" i="1"/>
  <c r="D33" i="1"/>
  <c r="D35" i="1"/>
  <c r="D15" i="1"/>
  <c r="D36" i="1"/>
  <c r="D37" i="1"/>
  <c r="D39" i="1"/>
  <c r="D16" i="1"/>
  <c r="D40" i="1"/>
  <c r="D41" i="1"/>
  <c r="D43" i="1"/>
  <c r="D17" i="1"/>
  <c r="D44" i="1"/>
  <c r="D45" i="1"/>
  <c r="D47" i="1"/>
  <c r="D18" i="1"/>
  <c r="D48" i="1"/>
  <c r="D49" i="1"/>
  <c r="D51" i="1"/>
  <c r="D19" i="1"/>
  <c r="D52" i="1"/>
  <c r="D53" i="1"/>
  <c r="D55" i="1"/>
  <c r="D20" i="1"/>
  <c r="D56" i="1"/>
  <c r="D57" i="1"/>
  <c r="D59" i="1"/>
  <c r="D21" i="1"/>
  <c r="P21" i="1"/>
  <c r="P20" i="1"/>
  <c r="P19" i="1"/>
  <c r="B27" i="1"/>
  <c r="E56" i="1"/>
  <c r="E57" i="1"/>
  <c r="E59" i="1"/>
  <c r="E21" i="1"/>
  <c r="P18" i="1"/>
  <c r="P17" i="1"/>
  <c r="P16" i="1"/>
  <c r="F48" i="1"/>
  <c r="F49" i="1"/>
  <c r="F51" i="1"/>
  <c r="F19" i="1"/>
  <c r="E48" i="1"/>
  <c r="E49" i="1"/>
  <c r="E51" i="1"/>
  <c r="E19" i="1"/>
  <c r="G50" i="1"/>
  <c r="E36" i="1"/>
  <c r="F32" i="1"/>
  <c r="F33" i="1"/>
  <c r="F35" i="1"/>
  <c r="F15" i="1"/>
  <c r="E32" i="1"/>
  <c r="G32" i="1"/>
  <c r="E33" i="1"/>
  <c r="G33" i="1"/>
  <c r="G34" i="1"/>
  <c r="G35" i="1"/>
  <c r="E35" i="1"/>
  <c r="E15" i="1"/>
  <c r="F53" i="1"/>
  <c r="E53" i="1"/>
  <c r="G53" i="1"/>
  <c r="F45" i="1"/>
  <c r="E45" i="1"/>
  <c r="G45" i="1"/>
  <c r="F41" i="1"/>
  <c r="E41" i="1"/>
  <c r="G41" i="1"/>
  <c r="F37" i="1"/>
  <c r="E37" i="1"/>
  <c r="G37" i="1"/>
  <c r="G49" i="1"/>
  <c r="K58" i="1"/>
  <c r="J58" i="1"/>
  <c r="E77" i="1"/>
  <c r="E76" i="1"/>
  <c r="R42" i="1"/>
  <c r="R41" i="1"/>
  <c r="D73" i="1"/>
  <c r="R40" i="1"/>
  <c r="G70" i="1"/>
  <c r="F69" i="1"/>
  <c r="E69" i="1"/>
  <c r="D69" i="1"/>
  <c r="G69" i="1"/>
  <c r="G77" i="1"/>
  <c r="G73" i="1"/>
  <c r="R39" i="1"/>
  <c r="F65" i="1"/>
  <c r="G66" i="1"/>
  <c r="D65" i="1"/>
  <c r="E65" i="1"/>
  <c r="G65" i="1"/>
  <c r="F61" i="1"/>
  <c r="E61" i="1"/>
  <c r="D61" i="1"/>
  <c r="G61" i="1"/>
  <c r="F57" i="1"/>
  <c r="G57" i="1"/>
  <c r="R38" i="1"/>
  <c r="R37" i="1"/>
  <c r="R35" i="1"/>
  <c r="R34" i="1"/>
  <c r="R33" i="1"/>
  <c r="R32" i="1"/>
  <c r="R36" i="1"/>
  <c r="G38" i="1"/>
  <c r="G42" i="1"/>
  <c r="G54" i="1"/>
  <c r="L18" i="1"/>
  <c r="G46" i="1"/>
  <c r="F36" i="1"/>
  <c r="E40" i="1"/>
  <c r="F40" i="1"/>
  <c r="E44" i="1"/>
  <c r="F44" i="1"/>
  <c r="N19" i="1"/>
  <c r="E52" i="1"/>
  <c r="E55" i="1"/>
  <c r="E20" i="1"/>
  <c r="F52" i="1"/>
  <c r="F55" i="1"/>
  <c r="F20" i="1"/>
  <c r="F56" i="1"/>
  <c r="F59" i="1"/>
  <c r="F21" i="1"/>
  <c r="N26" i="1"/>
  <c r="N25" i="1"/>
  <c r="M25" i="1"/>
  <c r="D72" i="1"/>
  <c r="D75" i="1"/>
  <c r="D25" i="1"/>
  <c r="F68" i="1"/>
  <c r="F71" i="1"/>
  <c r="F24" i="1"/>
  <c r="N24" i="1"/>
  <c r="E71" i="1"/>
  <c r="E24" i="1"/>
  <c r="M24" i="1"/>
  <c r="D68" i="1"/>
  <c r="F64" i="1"/>
  <c r="E64" i="1"/>
  <c r="D64" i="1"/>
  <c r="D67" i="1"/>
  <c r="D23" i="1"/>
  <c r="F60" i="1"/>
  <c r="F63" i="1"/>
  <c r="F22" i="1"/>
  <c r="N22" i="1"/>
  <c r="E60" i="1"/>
  <c r="E63" i="1"/>
  <c r="D60" i="1"/>
  <c r="F39" i="1"/>
  <c r="F16" i="1"/>
  <c r="G16" i="1"/>
  <c r="G78" i="1"/>
  <c r="G58" i="1"/>
  <c r="G74" i="1"/>
  <c r="G62" i="1"/>
  <c r="G20" i="1"/>
  <c r="G21" i="1"/>
  <c r="G22" i="1"/>
  <c r="G23" i="1"/>
  <c r="G26" i="1"/>
  <c r="G15" i="1"/>
  <c r="G17" i="1"/>
  <c r="G18" i="1"/>
  <c r="G19" i="1"/>
  <c r="G24" i="1"/>
  <c r="G25" i="1"/>
  <c r="L16" i="1"/>
  <c r="P15" i="1"/>
  <c r="L15" i="1"/>
  <c r="R15" i="1"/>
  <c r="N15" i="1"/>
  <c r="M19" i="1"/>
  <c r="G36" i="1"/>
  <c r="G39" i="1"/>
  <c r="F43" i="1"/>
  <c r="F17" i="1"/>
  <c r="E39" i="1"/>
  <c r="E16" i="1"/>
  <c r="C16" i="1"/>
  <c r="N16" i="1"/>
  <c r="R16" i="1"/>
  <c r="Q15" i="1"/>
  <c r="M15" i="1"/>
  <c r="C15" i="1"/>
  <c r="K15" i="1"/>
  <c r="O15" i="1"/>
  <c r="E47" i="1"/>
  <c r="E18" i="1"/>
  <c r="M18" i="1"/>
  <c r="F47" i="1"/>
  <c r="F18" i="1"/>
  <c r="N18" i="1"/>
  <c r="G44" i="1"/>
  <c r="G47" i="1"/>
  <c r="G40" i="1"/>
  <c r="G43" i="1"/>
  <c r="E43" i="1"/>
  <c r="E17" i="1"/>
  <c r="G52" i="1"/>
  <c r="G48" i="1"/>
  <c r="G51" i="1"/>
  <c r="N17" i="1"/>
  <c r="R17" i="1"/>
  <c r="C19" i="1"/>
  <c r="K19" i="1"/>
  <c r="L19" i="1"/>
  <c r="Q16" i="1"/>
  <c r="M16" i="1"/>
  <c r="C17" i="1"/>
  <c r="K17" i="1"/>
  <c r="C18" i="1"/>
  <c r="K18" i="1"/>
  <c r="R19" i="1"/>
  <c r="R18" i="1"/>
  <c r="L17" i="1"/>
  <c r="M17" i="1"/>
  <c r="Q19" i="1"/>
  <c r="Q17" i="1"/>
  <c r="Q18" i="1"/>
  <c r="E79" i="1"/>
  <c r="E26" i="1"/>
  <c r="M26" i="1"/>
  <c r="R44" i="1"/>
  <c r="D71" i="1"/>
  <c r="D24" i="1"/>
  <c r="L24" i="1"/>
  <c r="E67" i="1"/>
  <c r="F67" i="1"/>
  <c r="E22" i="1"/>
  <c r="M22" i="1"/>
  <c r="K16" i="1"/>
  <c r="O19" i="1"/>
  <c r="O16" i="1"/>
  <c r="G72" i="1"/>
  <c r="G75" i="1"/>
  <c r="N21" i="1"/>
  <c r="G60" i="1"/>
  <c r="G63" i="1"/>
  <c r="D63" i="1"/>
  <c r="G64" i="1"/>
  <c r="G67" i="1"/>
  <c r="L21" i="1"/>
  <c r="M21" i="1"/>
  <c r="L23" i="1"/>
  <c r="L26" i="1"/>
  <c r="L25" i="1"/>
  <c r="C25" i="1"/>
  <c r="K25" i="1"/>
  <c r="O17" i="1"/>
  <c r="G68" i="1"/>
  <c r="G71" i="1"/>
  <c r="G76" i="1"/>
  <c r="G79" i="1"/>
  <c r="G27" i="1"/>
  <c r="O18" i="1"/>
  <c r="G56" i="1"/>
  <c r="G59" i="1"/>
  <c r="M20" i="1"/>
  <c r="N20" i="1"/>
  <c r="R20" i="1"/>
  <c r="G55" i="1"/>
  <c r="L20" i="1"/>
  <c r="C20" i="1"/>
  <c r="Q20" i="1"/>
  <c r="R21" i="1"/>
  <c r="R22" i="1"/>
  <c r="C26" i="1"/>
  <c r="K26" i="1"/>
  <c r="C24" i="1"/>
  <c r="K24" i="1"/>
  <c r="F23" i="1"/>
  <c r="E23" i="1"/>
  <c r="C23" i="1"/>
  <c r="K23" i="1"/>
  <c r="D22" i="1"/>
  <c r="Q22" i="1"/>
  <c r="Q21" i="1"/>
  <c r="C21" i="1"/>
  <c r="K20" i="1"/>
  <c r="O20" i="1"/>
  <c r="Q26" i="1"/>
  <c r="Q27" i="1"/>
  <c r="M23" i="1"/>
  <c r="R25" i="1"/>
  <c r="R26" i="1"/>
  <c r="F27" i="1"/>
  <c r="N27" i="1"/>
  <c r="R27" i="1"/>
  <c r="R24" i="1"/>
  <c r="R23" i="1"/>
  <c r="Q24" i="1"/>
  <c r="E27" i="1"/>
  <c r="M27" i="1"/>
  <c r="Q25" i="1"/>
  <c r="Q23" i="1"/>
  <c r="N23" i="1"/>
  <c r="D27" i="1"/>
  <c r="L27" i="1"/>
  <c r="C22" i="1"/>
  <c r="P27" i="1"/>
  <c r="L22" i="1"/>
  <c r="P22" i="1"/>
  <c r="K22" i="1"/>
  <c r="P26" i="1"/>
  <c r="P24" i="1"/>
  <c r="P23" i="1"/>
  <c r="P25" i="1"/>
  <c r="K21" i="1"/>
  <c r="O21" i="1"/>
  <c r="O23" i="1"/>
  <c r="O26" i="1"/>
  <c r="O25" i="1"/>
  <c r="O27" i="1"/>
  <c r="C27" i="1"/>
  <c r="K27" i="1"/>
  <c r="O22" i="1"/>
  <c r="O24" i="1"/>
</calcChain>
</file>

<file path=xl/sharedStrings.xml><?xml version="1.0" encoding="utf-8"?>
<sst xmlns="http://schemas.openxmlformats.org/spreadsheetml/2006/main" count="195" uniqueCount="98">
  <si>
    <t>PREVISÃO DE ARRECADAÇÃO DO ICMS LÍQUIDO, LIBERAÇÕES FINANCEIRAS E FOLHA DE PAGAMENTO DAS UNIVERSIDADES ESTADUAIS PAULISTAS</t>
  </si>
  <si>
    <t>CONCEITO: FLUXO DE CAIXA</t>
  </si>
  <si>
    <t>PERCENTUAL DECRETO 29.598 DE 02/02/89</t>
  </si>
  <si>
    <t>ICMS</t>
  </si>
  <si>
    <t>LIBERAÇÕES FINANCEIRAS DO ESTADO (EM R$)</t>
  </si>
  <si>
    <t>VALORES BRUTOS DA</t>
  </si>
  <si>
    <t>% DA FOLHA DE PAGAMENTO BRUTA</t>
  </si>
  <si>
    <t xml:space="preserve">% DA FOLHA DE PAGAMENTO BRUTA </t>
  </si>
  <si>
    <t>LÍQUIDO</t>
  </si>
  <si>
    <t>FOLHA DE PAGAMENTO    EM R$</t>
  </si>
  <si>
    <t>SOBRE AS LIBERAÇÕES FINANCEIRAS</t>
  </si>
  <si>
    <t xml:space="preserve"> "ACUMULADA" S/ AS LIBERAÇÕES FINANC.</t>
  </si>
  <si>
    <t>MÊS</t>
  </si>
  <si>
    <t>PREVISTO</t>
  </si>
  <si>
    <t>UNIVERSIDADE</t>
  </si>
  <si>
    <t>TOTAL</t>
  </si>
  <si>
    <t>UNESP</t>
  </si>
  <si>
    <t>UNICAMP</t>
  </si>
  <si>
    <t>USP</t>
  </si>
  <si>
    <t>EM R$ 1,00</t>
  </si>
  <si>
    <t xml:space="preserve"> </t>
  </si>
  <si>
    <t>%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</si>
  <si>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</si>
  <si>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</si>
  <si>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</si>
  <si>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</si>
  <si>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</si>
  <si>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</si>
  <si>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</si>
  <si>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</si>
  <si>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</si>
  <si>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</si>
  <si>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</si>
  <si>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</si>
  <si>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TOT.ACUM.</t>
  </si>
  <si>
    <t>Notas:</t>
  </si>
  <si>
    <t>1) Liberações Financeiras Adicionais</t>
  </si>
  <si>
    <t>MÊS/ANO</t>
  </si>
  <si>
    <t>ORIGEM</t>
  </si>
  <si>
    <t>VALORES EM R$</t>
  </si>
  <si>
    <t xml:space="preserve">Lei Kandir </t>
  </si>
  <si>
    <t>Total</t>
  </si>
  <si>
    <t>3) O 13º Salário foi diluído mês a mês (1/12)</t>
  </si>
  <si>
    <t>IPC-FIPE</t>
  </si>
  <si>
    <t>REAJUSTE</t>
  </si>
  <si>
    <t xml:space="preserve">JAN </t>
  </si>
  <si>
    <t xml:space="preserve">FEV </t>
  </si>
  <si>
    <t xml:space="preserve">DEZ </t>
  </si>
  <si>
    <t>DEFINITIVO (*)</t>
  </si>
  <si>
    <t>SOMA</t>
  </si>
  <si>
    <t>PEP (**)</t>
  </si>
  <si>
    <t>*  inclui arrecadação adicional do Programa de Parcelamento Incentivado-PPI.</t>
  </si>
  <si>
    <t xml:space="preserve">    no início do mês.</t>
  </si>
  <si>
    <t>2) ICMS Líquido Previsto = Estimativas da S.F.</t>
  </si>
  <si>
    <t xml:space="preserve">    - UNESP = 2,3447%</t>
  </si>
  <si>
    <t xml:space="preserve">    Nota: % de cada Universidade no ICMS:</t>
  </si>
  <si>
    <t xml:space="preserve">    - UNICAMP = 2,1958%</t>
  </si>
  <si>
    <t xml:space="preserve">    - USP = 5,0295%</t>
  </si>
  <si>
    <t xml:space="preserve">    - Total = 9,57%</t>
  </si>
  <si>
    <t xml:space="preserve">    Constituição foi diluído mês a mês (1/36)</t>
  </si>
  <si>
    <t>4) O pagamento de 1/3 de férias (ativos) da</t>
  </si>
  <si>
    <t>7) Programas Habitacionais - Metodologia de cálculo/Sec. da Fazenda - deve ser dedu-</t>
  </si>
  <si>
    <t xml:space="preserve">    guintes valores: Inversões Financeiras - Fonte 1 - Tesouro do Estado - Valor Anual de</t>
  </si>
  <si>
    <t xml:space="preserve">    anual correspondente ao Programa 2505-Fomento à Habitação de Interesse Social-</t>
  </si>
  <si>
    <t xml:space="preserve">    Casa Paulista, da Secretaria da Habitação.</t>
  </si>
  <si>
    <t>Diferença Est./Fecham. Dez/2016</t>
  </si>
  <si>
    <t>PEP+PEP Dec.61.625/15 Dez/2016</t>
  </si>
  <si>
    <t>Lei Kandir ref. Dez/2016</t>
  </si>
  <si>
    <t>Diferença Est./Fecham. Jan/2017</t>
  </si>
  <si>
    <t>PEP Jan/2017</t>
  </si>
  <si>
    <t>Diferença Est./Fecham. Fev/2017</t>
  </si>
  <si>
    <t>PEP Fev/2017</t>
  </si>
  <si>
    <t>Diferença Est./Fecham. Mar/2017</t>
  </si>
  <si>
    <t>PEP Mar/2017</t>
  </si>
  <si>
    <t>Diferença Est./Fecham. Abr/2017</t>
  </si>
  <si>
    <t>PEP Abr/2017</t>
  </si>
  <si>
    <t>Diferença Est./Fecham. Mai/2017</t>
  </si>
  <si>
    <t>PEP Mai/2017</t>
  </si>
  <si>
    <t>Diferença Est./Fecham. Jun/2017</t>
  </si>
  <si>
    <t>PEP Jun/2017</t>
  </si>
  <si>
    <t>Diferença Est./Fecham. Jul/2017</t>
  </si>
  <si>
    <t>PEP Jul/2017</t>
  </si>
  <si>
    <t>Diferença Est./Fecham. Ago/2017</t>
  </si>
  <si>
    <t>PEP Ago/2017</t>
  </si>
  <si>
    <t>Diferença Est./Fecham. Set/2017</t>
  </si>
  <si>
    <t>PEP Set/2017</t>
  </si>
  <si>
    <t>Diferença Est./Fecham. Out/2017</t>
  </si>
  <si>
    <t>PEP Out/2017</t>
  </si>
  <si>
    <t>Diferença Est./Fecham. Nov/2017</t>
  </si>
  <si>
    <t>PEP Nov/2017</t>
  </si>
  <si>
    <t>5) IPC-FIPE/Reajuste Salarial - 2017:</t>
  </si>
  <si>
    <t>6) ICMS - Dados Definitivos - 2017</t>
  </si>
  <si>
    <t xml:space="preserve">    zido mensalmente o valor  de  R$ 124.999.983 referente a 1/12 do somatório dos se-</t>
  </si>
  <si>
    <t xml:space="preserve">    R$ 900.000.000 aprovado no Orçam. 2017 para Secr.da Habitação e R$ 599.999.790</t>
  </si>
  <si>
    <t>adicional referente ao PEP-2017 instituído através do Decreto 62.709/2017.</t>
  </si>
  <si>
    <t xml:space="preserve">** Programa Especial de Parcelamento-PEP. A partir de agosto inclui arrecadação </t>
  </si>
  <si>
    <t>DEZEMBRO DE 2017</t>
  </si>
  <si>
    <t>QUADRO 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</si>
</sst>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10"/>
      <color rgb="FF0033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4">
    <xf numFmtId="0" fontId="0" fillId="0" borderId="0" xfId="0"/>
    <xf numFmtId="0" fontId="5" fillId="2" borderId="1" xfId="0" applyFont="1" applyFill="1" applyBorder="1" applyAlignment="1">
      <alignment vertical="center"/>
    </xf>
    <xf numFmtId="0" fontId="6" fillId="2" borderId="1" xfId="0" quotePrefix="1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3" xfId="0" quotePrefix="1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vertical="center"/>
    </xf>
    <xf numFmtId="0" fontId="6" fillId="2" borderId="2" xfId="0" quotePrefix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Continuous" vertical="center"/>
    </xf>
    <xf numFmtId="10" fontId="6" fillId="2" borderId="2" xfId="0" quotePrefix="1" applyNumberFormat="1" applyFont="1" applyFill="1" applyBorder="1" applyAlignment="1">
      <alignment horizontal="center" vertical="center"/>
    </xf>
    <xf numFmtId="10" fontId="6" fillId="2" borderId="2" xfId="0" applyNumberFormat="1" applyFont="1" applyFill="1" applyBorder="1" applyAlignment="1">
      <alignment horizontal="center" vertical="center"/>
    </xf>
    <xf numFmtId="10" fontId="5" fillId="2" borderId="3" xfId="0" quotePrefix="1" applyNumberFormat="1" applyFont="1" applyFill="1" applyBorder="1" applyAlignment="1">
      <alignment horizontal="left" vertical="center"/>
    </xf>
    <xf numFmtId="0" fontId="5" fillId="2" borderId="3" xfId="0" quotePrefix="1" applyFont="1" applyFill="1" applyBorder="1" applyAlignment="1">
      <alignment horizontal="left" vertical="center"/>
    </xf>
    <xf numFmtId="17" fontId="4" fillId="2" borderId="1" xfId="0" quotePrefix="1" applyNumberFormat="1" applyFont="1" applyFill="1" applyBorder="1" applyAlignment="1">
      <alignment horizontal="center" vertical="center"/>
    </xf>
    <xf numFmtId="165" fontId="5" fillId="2" borderId="1" xfId="2" applyNumberFormat="1" applyFont="1" applyFill="1" applyBorder="1" applyAlignment="1">
      <alignment vertical="center"/>
    </xf>
    <xf numFmtId="165" fontId="5" fillId="2" borderId="4" xfId="2" applyNumberFormat="1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Continuous" vertical="center"/>
    </xf>
    <xf numFmtId="2" fontId="5" fillId="2" borderId="5" xfId="0" applyNumberFormat="1" applyFont="1" applyFill="1" applyBorder="1" applyAlignment="1">
      <alignment horizontal="centerContinuous" vertical="center"/>
    </xf>
    <xf numFmtId="17" fontId="4" fillId="2" borderId="2" xfId="0" quotePrefix="1" applyNumberFormat="1" applyFont="1" applyFill="1" applyBorder="1" applyAlignment="1">
      <alignment horizontal="center" vertical="center"/>
    </xf>
    <xf numFmtId="165" fontId="7" fillId="2" borderId="2" xfId="2" applyNumberFormat="1" applyFont="1" applyFill="1" applyBorder="1" applyAlignment="1">
      <alignment vertical="center"/>
    </xf>
    <xf numFmtId="165" fontId="5" fillId="2" borderId="2" xfId="2" applyNumberFormat="1" applyFont="1" applyFill="1" applyBorder="1" applyAlignment="1">
      <alignment vertical="center"/>
    </xf>
    <xf numFmtId="2" fontId="5" fillId="2" borderId="2" xfId="0" applyNumberFormat="1" applyFont="1" applyFill="1" applyBorder="1" applyAlignment="1">
      <alignment horizontal="centerContinuous" vertical="center"/>
    </xf>
    <xf numFmtId="2" fontId="5" fillId="2" borderId="6" xfId="0" applyNumberFormat="1" applyFont="1" applyFill="1" applyBorder="1" applyAlignment="1">
      <alignment horizontal="centerContinuous" vertical="center"/>
    </xf>
    <xf numFmtId="165" fontId="7" fillId="0" borderId="2" xfId="2" applyNumberFormat="1" applyFont="1" applyFill="1" applyBorder="1" applyAlignment="1">
      <alignment vertical="center"/>
    </xf>
    <xf numFmtId="2" fontId="5" fillId="2" borderId="3" xfId="0" applyNumberFormat="1" applyFont="1" applyFill="1" applyBorder="1" applyAlignment="1">
      <alignment horizontal="centerContinuous" vertical="center"/>
    </xf>
    <xf numFmtId="17" fontId="4" fillId="2" borderId="7" xfId="0" applyNumberFormat="1" applyFont="1" applyFill="1" applyBorder="1" applyAlignment="1">
      <alignment horizontal="left" vertical="center"/>
    </xf>
    <xf numFmtId="165" fontId="4" fillId="0" borderId="7" xfId="2" applyNumberFormat="1" applyFont="1" applyFill="1" applyBorder="1" applyAlignment="1">
      <alignment vertical="center"/>
    </xf>
    <xf numFmtId="165" fontId="4" fillId="2" borderId="7" xfId="2" applyNumberFormat="1" applyFont="1" applyFill="1" applyBorder="1" applyAlignment="1">
      <alignment vertical="center"/>
    </xf>
    <xf numFmtId="2" fontId="4" fillId="2" borderId="7" xfId="0" applyNumberFormat="1" applyFont="1" applyFill="1" applyBorder="1" applyAlignment="1">
      <alignment horizontal="centerContinuous" vertical="center"/>
    </xf>
    <xf numFmtId="17" fontId="4" fillId="2" borderId="7" xfId="0" applyNumberFormat="1" applyFont="1" applyFill="1" applyBorder="1" applyAlignment="1">
      <alignment horizontal="center" vertical="center"/>
    </xf>
    <xf numFmtId="17" fontId="4" fillId="2" borderId="2" xfId="0" applyNumberFormat="1" applyFont="1" applyFill="1" applyBorder="1" applyAlignment="1">
      <alignment horizontal="center" vertical="center"/>
    </xf>
    <xf numFmtId="17" fontId="6" fillId="2" borderId="15" xfId="0" applyNumberFormat="1" applyFont="1" applyFill="1" applyBorder="1" applyAlignment="1">
      <alignment horizontal="center" vertical="center"/>
    </xf>
    <xf numFmtId="10" fontId="6" fillId="2" borderId="3" xfId="0" quotePrefix="1" applyNumberFormat="1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>
      <alignment horizontal="center" vertical="center"/>
    </xf>
    <xf numFmtId="17" fontId="6" fillId="2" borderId="2" xfId="0" applyNumberFormat="1" applyFont="1" applyFill="1" applyBorder="1" applyAlignment="1">
      <alignment horizontal="center" vertical="center"/>
    </xf>
    <xf numFmtId="165" fontId="5" fillId="3" borderId="2" xfId="2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0" fontId="6" fillId="2" borderId="3" xfId="0" applyNumberFormat="1" applyFont="1" applyFill="1" applyBorder="1" applyAlignment="1">
      <alignment horizontal="center" vertical="center"/>
    </xf>
    <xf numFmtId="165" fontId="13" fillId="3" borderId="2" xfId="2" applyNumberFormat="1" applyFont="1" applyFill="1" applyBorder="1" applyAlignment="1">
      <alignment vertical="center"/>
    </xf>
    <xf numFmtId="165" fontId="7" fillId="3" borderId="2" xfId="2" applyNumberFormat="1" applyFont="1" applyFill="1" applyBorder="1" applyAlignment="1">
      <alignment vertical="center"/>
    </xf>
    <xf numFmtId="165" fontId="1" fillId="2" borderId="2" xfId="2" applyNumberFormat="1" applyFont="1" applyFill="1" applyBorder="1" applyAlignment="1">
      <alignment vertical="center"/>
    </xf>
    <xf numFmtId="165" fontId="13" fillId="2" borderId="2" xfId="2" applyNumberFormat="1" applyFont="1" applyFill="1" applyBorder="1" applyAlignment="1">
      <alignment vertical="center"/>
    </xf>
    <xf numFmtId="17" fontId="6" fillId="2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2" fillId="2" borderId="0" xfId="0" quotePrefix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65" fontId="0" fillId="2" borderId="0" xfId="2" applyNumberFormat="1" applyFont="1" applyFill="1" applyAlignment="1">
      <alignment vertical="center"/>
    </xf>
    <xf numFmtId="165" fontId="8" fillId="2" borderId="0" xfId="2" applyNumberFormat="1" applyFont="1" applyFill="1" applyAlignment="1">
      <alignment vertical="center"/>
    </xf>
    <xf numFmtId="164" fontId="8" fillId="2" borderId="0" xfId="2" applyNumberFormat="1" applyFont="1" applyFill="1" applyAlignment="1">
      <alignment vertical="center"/>
    </xf>
    <xf numFmtId="164" fontId="4" fillId="2" borderId="0" xfId="2" applyNumberFormat="1" applyFont="1" applyFill="1" applyAlignment="1">
      <alignment vertical="center"/>
    </xf>
    <xf numFmtId="165" fontId="4" fillId="2" borderId="0" xfId="2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165" fontId="1" fillId="2" borderId="0" xfId="2" applyNumberFormat="1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0" fontId="1" fillId="2" borderId="0" xfId="0" quotePrefix="1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centerContinuous" vertical="center"/>
    </xf>
    <xf numFmtId="0" fontId="6" fillId="2" borderId="9" xfId="0" quotePrefix="1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center"/>
    </xf>
    <xf numFmtId="0" fontId="0" fillId="2" borderId="0" xfId="0" quotePrefix="1" applyFill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165" fontId="7" fillId="2" borderId="1" xfId="2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165" fontId="0" fillId="2" borderId="2" xfId="2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165" fontId="10" fillId="2" borderId="3" xfId="2" applyNumberFormat="1" applyFont="1" applyFill="1" applyBorder="1" applyAlignment="1">
      <alignment vertical="center"/>
    </xf>
    <xf numFmtId="165" fontId="5" fillId="2" borderId="5" xfId="2" applyNumberFormat="1" applyFont="1" applyFill="1" applyBorder="1" applyAlignment="1">
      <alignment vertical="center"/>
    </xf>
    <xf numFmtId="165" fontId="5" fillId="2" borderId="12" xfId="2" applyNumberFormat="1" applyFont="1" applyFill="1" applyBorder="1" applyAlignment="1">
      <alignment vertical="center"/>
    </xf>
    <xf numFmtId="165" fontId="0" fillId="2" borderId="0" xfId="0" applyNumberFormat="1" applyFill="1" applyAlignment="1">
      <alignment vertical="center"/>
    </xf>
    <xf numFmtId="0" fontId="5" fillId="2" borderId="0" xfId="0" quotePrefix="1" applyFont="1" applyFill="1" applyAlignment="1">
      <alignment horizontal="left" vertical="center"/>
    </xf>
    <xf numFmtId="165" fontId="9" fillId="2" borderId="3" xfId="0" applyNumberFormat="1" applyFont="1" applyFill="1" applyBorder="1" applyAlignment="1">
      <alignment vertical="center"/>
    </xf>
    <xf numFmtId="10" fontId="1" fillId="0" borderId="12" xfId="1" applyNumberFormat="1" applyFont="1" applyFill="1" applyBorder="1" applyAlignment="1">
      <alignment horizontal="center" vertical="center"/>
    </xf>
    <xf numFmtId="164" fontId="1" fillId="2" borderId="1" xfId="2" applyFont="1" applyFill="1" applyBorder="1" applyAlignment="1">
      <alignment horizontal="center" vertical="center"/>
    </xf>
    <xf numFmtId="10" fontId="1" fillId="2" borderId="4" xfId="1" applyNumberFormat="1" applyFont="1" applyFill="1" applyBorder="1" applyAlignment="1">
      <alignment horizontal="center" vertical="center"/>
    </xf>
    <xf numFmtId="164" fontId="1" fillId="2" borderId="2" xfId="2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64" fontId="12" fillId="2" borderId="0" xfId="2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10" fontId="1" fillId="3" borderId="4" xfId="1" applyNumberFormat="1" applyFont="1" applyFill="1" applyBorder="1" applyAlignment="1">
      <alignment horizontal="center" vertical="center"/>
    </xf>
    <xf numFmtId="10" fontId="0" fillId="2" borderId="4" xfId="0" applyNumberFormat="1" applyFill="1" applyBorder="1" applyAlignment="1">
      <alignment horizontal="center" vertical="center"/>
    </xf>
    <xf numFmtId="10" fontId="0" fillId="3" borderId="4" xfId="0" applyNumberForma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10" fontId="1" fillId="2" borderId="11" xfId="1" applyNumberFormat="1" applyFont="1" applyFill="1" applyBorder="1" applyAlignment="1">
      <alignment horizontal="center" vertical="center"/>
    </xf>
    <xf numFmtId="164" fontId="1" fillId="2" borderId="3" xfId="2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10" fontId="4" fillId="2" borderId="7" xfId="1" applyNumberFormat="1" applyFont="1" applyFill="1" applyBorder="1" applyAlignment="1">
      <alignment horizontal="center" vertical="center"/>
    </xf>
    <xf numFmtId="10" fontId="4" fillId="2" borderId="3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10" fontId="1" fillId="2" borderId="0" xfId="1" applyNumberFormat="1" applyFont="1" applyFill="1" applyBorder="1" applyAlignment="1">
      <alignment horizontal="center" vertical="center"/>
    </xf>
    <xf numFmtId="164" fontId="1" fillId="2" borderId="0" xfId="2" applyFont="1" applyFill="1" applyBorder="1" applyAlignment="1">
      <alignment horizontal="center" vertical="center"/>
    </xf>
    <xf numFmtId="0" fontId="7" fillId="2" borderId="0" xfId="0" quotePrefix="1" applyFont="1" applyFill="1" applyAlignment="1">
      <alignment vertical="center"/>
    </xf>
    <xf numFmtId="165" fontId="4" fillId="3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3" fontId="13" fillId="2" borderId="0" xfId="0" applyNumberFormat="1" applyFont="1" applyFill="1" applyAlignment="1">
      <alignment vertical="center"/>
    </xf>
    <xf numFmtId="0" fontId="1" fillId="2" borderId="0" xfId="0" quotePrefix="1" applyFont="1" applyFill="1" applyAlignment="1">
      <alignment vertical="center"/>
    </xf>
    <xf numFmtId="165" fontId="12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1" fillId="2" borderId="0" xfId="2" applyFill="1" applyAlignment="1">
      <alignment vertical="center"/>
    </xf>
    <xf numFmtId="0" fontId="12" fillId="2" borderId="0" xfId="0" quotePrefix="1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2" fillId="2" borderId="0" xfId="0" quotePrefix="1" applyFont="1" applyFill="1" applyAlignment="1">
      <alignment vertical="center"/>
    </xf>
    <xf numFmtId="165" fontId="1" fillId="3" borderId="2" xfId="2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6" fillId="2" borderId="1" xfId="0" quotePrefix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quotePrefix="1" applyFont="1" applyFill="1" applyBorder="1" applyAlignment="1">
      <alignment horizontal="center" vertical="center"/>
    </xf>
    <xf numFmtId="0" fontId="6" fillId="2" borderId="13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11" xfId="0" quotePrefix="1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0" fontId="6" fillId="2" borderId="14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5" fontId="5" fillId="2" borderId="12" xfId="2" applyNumberFormat="1" applyFont="1" applyFill="1" applyBorder="1" applyAlignment="1">
      <alignment horizontal="center" vertical="center"/>
    </xf>
    <xf numFmtId="165" fontId="5" fillId="2" borderId="5" xfId="2" applyNumberFormat="1" applyFont="1" applyFill="1" applyBorder="1" applyAlignment="1">
      <alignment horizontal="center" vertical="center"/>
    </xf>
    <xf numFmtId="165" fontId="5" fillId="2" borderId="4" xfId="2" applyNumberFormat="1" applyFont="1" applyFill="1" applyBorder="1" applyAlignment="1">
      <alignment horizontal="center" vertical="center"/>
    </xf>
    <xf numFmtId="165" fontId="5" fillId="2" borderId="6" xfId="2" applyNumberFormat="1" applyFont="1" applyFill="1" applyBorder="1" applyAlignment="1">
      <alignment horizontal="center" vertical="center"/>
    </xf>
    <xf numFmtId="165" fontId="4" fillId="2" borderId="15" xfId="2" applyNumberFormat="1" applyFont="1" applyFill="1" applyBorder="1" applyAlignment="1">
      <alignment horizontal="center" vertical="center"/>
    </xf>
    <xf numFmtId="165" fontId="4" fillId="2" borderId="9" xfId="2" applyNumberFormat="1" applyFont="1" applyFill="1" applyBorder="1" applyAlignment="1">
      <alignment horizontal="center" vertical="center"/>
    </xf>
    <xf numFmtId="165" fontId="6" fillId="2" borderId="15" xfId="2" applyNumberFormat="1" applyFont="1" applyFill="1" applyBorder="1" applyAlignment="1">
      <alignment horizontal="center" vertical="center"/>
    </xf>
    <xf numFmtId="165" fontId="6" fillId="2" borderId="9" xfId="2" applyNumberFormat="1" applyFont="1" applyFill="1" applyBorder="1" applyAlignment="1">
      <alignment horizontal="center" vertical="center"/>
    </xf>
    <xf numFmtId="165" fontId="13" fillId="2" borderId="12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4" xfId="2" applyNumberFormat="1" applyFont="1" applyFill="1" applyBorder="1" applyAlignment="1">
      <alignment horizontal="center" vertical="center"/>
    </xf>
    <xf numFmtId="165" fontId="13" fillId="2" borderId="6" xfId="2" applyNumberFormat="1" applyFont="1" applyFill="1" applyBorder="1" applyAlignment="1">
      <alignment horizontal="center" vertical="center"/>
    </xf>
    <xf numFmtId="165" fontId="1" fillId="3" borderId="4" xfId="2" applyNumberFormat="1" applyFont="1" applyFill="1" applyBorder="1" applyAlignment="1">
      <alignment horizontal="center" vertical="center"/>
    </xf>
    <xf numFmtId="165" fontId="1" fillId="3" borderId="6" xfId="2" applyNumberFormat="1" applyFont="1" applyFill="1" applyBorder="1" applyAlignment="1">
      <alignment horizontal="center" vertical="center"/>
    </xf>
    <xf numFmtId="165" fontId="5" fillId="3" borderId="11" xfId="2" applyNumberFormat="1" applyFont="1" applyFill="1" applyBorder="1" applyAlignment="1">
      <alignment horizontal="center" vertical="center"/>
    </xf>
    <xf numFmtId="165" fontId="5" fillId="3" borderId="14" xfId="2" applyNumberFormat="1" applyFont="1" applyFill="1" applyBorder="1" applyAlignment="1">
      <alignment horizontal="center" vertical="center"/>
    </xf>
    <xf numFmtId="165" fontId="5" fillId="2" borderId="11" xfId="2" applyNumberFormat="1" applyFont="1" applyFill="1" applyBorder="1" applyAlignment="1">
      <alignment horizontal="center" vertical="center"/>
    </xf>
    <xf numFmtId="165" fontId="5" fillId="2" borderId="14" xfId="2" applyNumberFormat="1" applyFont="1" applyFill="1" applyBorder="1" applyAlignment="1">
      <alignment horizontal="center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2"/>
  <sheetViews>
    <sheetView tabSelected="1" showRuler="0" zoomScaleNormal="100" workbookViewId="0">
      <selection sqref="A1:S1"/>
    </sheetView>
  </sheetViews>
  <sheetFormatPr defaultColWidth="11.42578125" defaultRowHeight="12.75" x14ac:dyDescent="0.2"/>
  <cols>
    <col min="1" max="1" width="11.28515625" style="49" customWidth="1"/>
    <col min="2" max="2" width="16" style="49" customWidth="1"/>
    <col min="3" max="3" width="14.42578125" style="49" customWidth="1"/>
    <col min="4" max="5" width="14.140625" style="49" bestFit="1" customWidth="1"/>
    <col min="6" max="6" width="14.85546875" style="49" customWidth="1"/>
    <col min="7" max="7" width="18" style="49" bestFit="1" customWidth="1"/>
    <col min="8" max="8" width="14.140625" style="49" bestFit="1" customWidth="1"/>
    <col min="9" max="10" width="14.42578125" style="49" customWidth="1"/>
    <col min="11" max="11" width="10.42578125" style="49" bestFit="1" customWidth="1"/>
    <col min="12" max="12" width="9.42578125" style="49" customWidth="1"/>
    <col min="13" max="13" width="9.42578125" style="49" bestFit="1" customWidth="1"/>
    <col min="14" max="14" width="9.42578125" style="49" customWidth="1"/>
    <col min="15" max="18" width="10.7109375" style="49" customWidth="1"/>
    <col min="19" max="19" width="11.28515625" style="49" bestFit="1" customWidth="1"/>
    <col min="20" max="20" width="11.42578125" style="49" customWidth="1"/>
    <col min="21" max="21" width="13.85546875" style="49" customWidth="1"/>
    <col min="22" max="23" width="14" style="49" bestFit="1" customWidth="1"/>
    <col min="24" max="16384" width="11.42578125" style="49"/>
  </cols>
  <sheetData>
    <row r="1" spans="1:19" ht="18" x14ac:dyDescent="0.2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8.1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8" x14ac:dyDescent="0.2">
      <c r="A3" s="131" t="s">
        <v>96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19" ht="8.1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8" x14ac:dyDescent="0.2">
      <c r="A5" s="131" t="s">
        <v>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1:19" ht="8.1" customHeight="1" x14ac:dyDescent="0.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ht="18" x14ac:dyDescent="0.2">
      <c r="A7" s="131" t="s">
        <v>97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</row>
    <row r="8" spans="1:19" ht="8.1" customHeigh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18" x14ac:dyDescent="0.2">
      <c r="A9" s="50" t="s">
        <v>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2"/>
      <c r="P9" s="53"/>
      <c r="Q9" s="50"/>
      <c r="R9" s="50"/>
      <c r="S9" s="50"/>
    </row>
    <row r="10" spans="1:19" x14ac:dyDescent="0.2">
      <c r="A10" s="1"/>
      <c r="B10" s="46" t="s">
        <v>3</v>
      </c>
      <c r="C10" s="135" t="s">
        <v>4</v>
      </c>
      <c r="D10" s="136"/>
      <c r="E10" s="136"/>
      <c r="F10" s="137"/>
      <c r="G10" s="141" t="s">
        <v>5</v>
      </c>
      <c r="H10" s="141"/>
      <c r="I10" s="141"/>
      <c r="J10" s="141"/>
      <c r="K10" s="2" t="s">
        <v>6</v>
      </c>
      <c r="L10" s="3"/>
      <c r="M10" s="3"/>
      <c r="N10" s="3"/>
      <c r="O10" s="2" t="s">
        <v>7</v>
      </c>
      <c r="P10" s="3"/>
      <c r="Q10" s="3"/>
      <c r="R10" s="3"/>
      <c r="S10" s="4"/>
    </row>
    <row r="11" spans="1:19" x14ac:dyDescent="0.2">
      <c r="A11" s="5"/>
      <c r="B11" s="47" t="s">
        <v>8</v>
      </c>
      <c r="C11" s="138"/>
      <c r="D11" s="139"/>
      <c r="E11" s="139"/>
      <c r="F11" s="140"/>
      <c r="G11" s="142" t="s">
        <v>9</v>
      </c>
      <c r="H11" s="143"/>
      <c r="I11" s="143"/>
      <c r="J11" s="144"/>
      <c r="K11" s="6" t="s">
        <v>10</v>
      </c>
      <c r="L11" s="6"/>
      <c r="M11" s="6"/>
      <c r="N11" s="7"/>
      <c r="O11" s="6" t="s">
        <v>11</v>
      </c>
      <c r="P11" s="6"/>
      <c r="Q11" s="6"/>
      <c r="R11" s="7"/>
      <c r="S11" s="8"/>
    </row>
    <row r="12" spans="1:19" ht="13.5" customHeight="1" x14ac:dyDescent="0.2">
      <c r="A12" s="47" t="s">
        <v>12</v>
      </c>
      <c r="B12" s="9" t="s">
        <v>13</v>
      </c>
      <c r="C12" s="47"/>
      <c r="D12" s="6" t="s">
        <v>14</v>
      </c>
      <c r="E12" s="6"/>
      <c r="F12" s="10"/>
      <c r="G12" s="39"/>
      <c r="H12" s="6" t="s">
        <v>14</v>
      </c>
      <c r="I12" s="10"/>
      <c r="J12" s="10"/>
      <c r="K12" s="47"/>
      <c r="L12" s="6" t="s">
        <v>14</v>
      </c>
      <c r="M12" s="6"/>
      <c r="N12" s="6"/>
      <c r="O12" s="47"/>
      <c r="P12" s="6" t="s">
        <v>14</v>
      </c>
      <c r="Q12" s="6"/>
      <c r="R12" s="6"/>
      <c r="S12" s="47" t="s">
        <v>12</v>
      </c>
    </row>
    <row r="13" spans="1:19" x14ac:dyDescent="0.2">
      <c r="A13" s="5"/>
      <c r="B13" s="8"/>
      <c r="C13" s="47" t="s">
        <v>15</v>
      </c>
      <c r="D13" s="46" t="s">
        <v>16</v>
      </c>
      <c r="E13" s="46" t="s">
        <v>17</v>
      </c>
      <c r="F13" s="46" t="s">
        <v>18</v>
      </c>
      <c r="G13" s="47" t="s">
        <v>15</v>
      </c>
      <c r="H13" s="46" t="s">
        <v>16</v>
      </c>
      <c r="I13" s="46" t="s">
        <v>17</v>
      </c>
      <c r="J13" s="46" t="s">
        <v>18</v>
      </c>
      <c r="K13" s="47" t="s">
        <v>15</v>
      </c>
      <c r="L13" s="47" t="s">
        <v>16</v>
      </c>
      <c r="M13" s="47" t="s">
        <v>17</v>
      </c>
      <c r="N13" s="47" t="s">
        <v>18</v>
      </c>
      <c r="O13" s="47" t="s">
        <v>15</v>
      </c>
      <c r="P13" s="47" t="s">
        <v>16</v>
      </c>
      <c r="Q13" s="47" t="s">
        <v>17</v>
      </c>
      <c r="R13" s="47" t="s">
        <v>18</v>
      </c>
      <c r="S13" s="8"/>
    </row>
    <row r="14" spans="1:19" x14ac:dyDescent="0.2">
      <c r="A14" s="5"/>
      <c r="B14" s="48" t="s">
        <v>19</v>
      </c>
      <c r="C14" s="11"/>
      <c r="D14" s="34"/>
      <c r="E14" s="35"/>
      <c r="F14" s="35"/>
      <c r="G14" s="40" t="s">
        <v>20</v>
      </c>
      <c r="H14" s="13"/>
      <c r="I14" s="14"/>
      <c r="J14" s="14"/>
      <c r="K14" s="11" t="s">
        <v>21</v>
      </c>
      <c r="L14" s="12" t="s">
        <v>21</v>
      </c>
      <c r="M14" s="12" t="s">
        <v>21</v>
      </c>
      <c r="N14" s="12" t="s">
        <v>21</v>
      </c>
      <c r="O14" s="11" t="s">
        <v>21</v>
      </c>
      <c r="P14" s="12" t="s">
        <v>21</v>
      </c>
      <c r="Q14" s="12" t="s">
        <v>21</v>
      </c>
      <c r="R14" s="12" t="s">
        <v>21</v>
      </c>
      <c r="S14" s="8"/>
    </row>
    <row r="15" spans="1:19" ht="15" customHeight="1" x14ac:dyDescent="0.2">
      <c r="A15" s="15" t="s">
        <v>45</v>
      </c>
      <c r="B15" s="43">
        <v>7579941592</v>
      </c>
      <c r="C15" s="16">
        <f>SUM(D15:F15)</f>
        <v>758126312</v>
      </c>
      <c r="D15" s="22">
        <f>ROUND((B15*0.023447+D35),0)-1</f>
        <v>185744907</v>
      </c>
      <c r="E15" s="22">
        <f>ROUND((B15*0.021958+E35),0)</f>
        <v>173949190</v>
      </c>
      <c r="F15" s="22">
        <f>ROUND((B15*0.050295+F35),0)+1</f>
        <v>398432215</v>
      </c>
      <c r="G15" s="22">
        <f t="shared" ref="G15:G26" si="0">SUM(H15:J15)</f>
        <v>753268972</v>
      </c>
      <c r="H15" s="125">
        <v>178919360</v>
      </c>
      <c r="I15" s="125">
        <v>171611052</v>
      </c>
      <c r="J15" s="125">
        <v>402738560</v>
      </c>
      <c r="K15" s="18">
        <f>+G15/C15*100</f>
        <v>99.359296739459424</v>
      </c>
      <c r="L15" s="19">
        <f>+H15/D15*100</f>
        <v>96.325311358335114</v>
      </c>
      <c r="M15" s="18">
        <f>+I15/E15*100</f>
        <v>98.655850021491915</v>
      </c>
      <c r="N15" s="18">
        <f>+J15/F15*100</f>
        <v>101.08082249323138</v>
      </c>
      <c r="O15" s="18">
        <f>+G15/C15*100</f>
        <v>99.359296739459424</v>
      </c>
      <c r="P15" s="18">
        <f>+H15/D15*100</f>
        <v>96.325311358335114</v>
      </c>
      <c r="Q15" s="18">
        <f>+I15/E15*100</f>
        <v>98.655850021491915</v>
      </c>
      <c r="R15" s="18">
        <f>+J15/F15*100</f>
        <v>101.08082249323138</v>
      </c>
      <c r="S15" s="15" t="s">
        <v>22</v>
      </c>
    </row>
    <row r="16" spans="1:19" x14ac:dyDescent="0.2">
      <c r="A16" s="20" t="s">
        <v>46</v>
      </c>
      <c r="B16" s="44">
        <v>7215833609</v>
      </c>
      <c r="C16" s="17">
        <f t="shared" ref="C16:C25" si="1">SUM(D16:F16)</f>
        <v>724905004</v>
      </c>
      <c r="D16" s="22">
        <f>ROUND((B16*0.023447+D39),0)</f>
        <v>177605514</v>
      </c>
      <c r="E16" s="22">
        <f>ROUND((B16*0.021958+E39),0)</f>
        <v>166326688</v>
      </c>
      <c r="F16" s="22">
        <f>ROUND((B16*0.050295+F39),0)</f>
        <v>380972802</v>
      </c>
      <c r="G16" s="22">
        <f>SUM(H16:J16)</f>
        <v>732496452.0679903</v>
      </c>
      <c r="H16" s="41">
        <v>179497002</v>
      </c>
      <c r="I16" s="41">
        <v>172363201</v>
      </c>
      <c r="J16" s="41">
        <v>380636249.0679903</v>
      </c>
      <c r="K16" s="23">
        <f t="shared" ref="K16:K26" si="2">IF(C16=0,0,(G16/C16*100))</f>
        <v>101.04723350316263</v>
      </c>
      <c r="L16" s="24">
        <f t="shared" ref="L16:L26" si="3">IF(D16=0,0,(H16/D16*100))</f>
        <v>101.06499396184287</v>
      </c>
      <c r="M16" s="23">
        <f t="shared" ref="M16:M26" si="4">IF(E16=0,0,(I16/E16*100))</f>
        <v>103.62931113015368</v>
      </c>
      <c r="N16" s="23">
        <f t="shared" ref="N16:N26" si="5">IF(F16=0,0,(J16/F16*100))</f>
        <v>99.91165959085717</v>
      </c>
      <c r="O16" s="23">
        <f>+SUM($G$15:G16)/SUM($C$15:C16)*100</f>
        <v>100.18435942912957</v>
      </c>
      <c r="P16" s="23">
        <f>+SUM($H$15:H16)/SUM($D$15:D16)*100</f>
        <v>98.642065974102721</v>
      </c>
      <c r="Q16" s="23">
        <f>+SUM($I$15:I16)/SUM($E$15:E16)*100</f>
        <v>101.08687545580295</v>
      </c>
      <c r="R16" s="23">
        <f>+SUM($J$15:J16)/SUM($F$15:F16)*100</f>
        <v>100.50933622204157</v>
      </c>
      <c r="S16" s="20" t="s">
        <v>23</v>
      </c>
    </row>
    <row r="17" spans="1:20" x14ac:dyDescent="0.2">
      <c r="A17" s="20" t="s">
        <v>24</v>
      </c>
      <c r="B17" s="21">
        <v>7413819614</v>
      </c>
      <c r="C17" s="17">
        <f t="shared" si="1"/>
        <v>646419131</v>
      </c>
      <c r="D17" s="22">
        <f>ROUND((B17*0.023447+D43),0)</f>
        <v>158376064</v>
      </c>
      <c r="E17" s="22">
        <f>ROUND((B17*0.021958+E43),0)</f>
        <v>148318404</v>
      </c>
      <c r="F17" s="22">
        <f>ROUND((B17*0.050295+F43),0)</f>
        <v>339724663</v>
      </c>
      <c r="G17" s="22">
        <f t="shared" si="0"/>
        <v>739937049</v>
      </c>
      <c r="H17" s="43">
        <v>179648971</v>
      </c>
      <c r="I17" s="22">
        <v>170174510</v>
      </c>
      <c r="J17" s="43">
        <v>390113568</v>
      </c>
      <c r="K17" s="23">
        <f t="shared" si="2"/>
        <v>114.46707151988669</v>
      </c>
      <c r="L17" s="24">
        <f t="shared" si="3"/>
        <v>113.43189523891691</v>
      </c>
      <c r="M17" s="23">
        <f t="shared" si="4"/>
        <v>114.73593661377318</v>
      </c>
      <c r="N17" s="23">
        <f t="shared" si="5"/>
        <v>114.83227757297092</v>
      </c>
      <c r="O17" s="23">
        <f>+SUM($G$15:G17)/SUM($C$15:C17)*100</f>
        <v>104.52004066136367</v>
      </c>
      <c r="P17" s="23">
        <f>+SUM($H$15:H17)/SUM($D$15:D17)*100</f>
        <v>103.13168843632694</v>
      </c>
      <c r="Q17" s="23">
        <f>+SUM($I$15:I17)/SUM($E$15:E17)*100</f>
        <v>105.23020467930894</v>
      </c>
      <c r="R17" s="23">
        <f>+SUM($J$15:J17)/SUM($F$15:F17)*100</f>
        <v>104.85722950963023</v>
      </c>
      <c r="S17" s="20" t="s">
        <v>24</v>
      </c>
    </row>
    <row r="18" spans="1:20" x14ac:dyDescent="0.2">
      <c r="A18" s="20" t="s">
        <v>25</v>
      </c>
      <c r="B18" s="44">
        <v>7369061612</v>
      </c>
      <c r="C18" s="17">
        <f t="shared" si="1"/>
        <v>771682208</v>
      </c>
      <c r="D18" s="22">
        <f>ROUND((B18*0.023447+D47),0)</f>
        <v>189066173</v>
      </c>
      <c r="E18" s="22">
        <f>ROUND((B18*0.021958+E47),0)</f>
        <v>177059539</v>
      </c>
      <c r="F18" s="22">
        <f>ROUND((B18*0.050295+F47),0)</f>
        <v>405556496</v>
      </c>
      <c r="G18" s="22">
        <f t="shared" si="0"/>
        <v>732456172</v>
      </c>
      <c r="H18" s="43">
        <v>179688451</v>
      </c>
      <c r="I18" s="41">
        <v>169573158</v>
      </c>
      <c r="J18" s="43">
        <v>383194563</v>
      </c>
      <c r="K18" s="23">
        <f t="shared" si="2"/>
        <v>94.916814772539112</v>
      </c>
      <c r="L18" s="23">
        <f t="shared" si="3"/>
        <v>95.039978939014119</v>
      </c>
      <c r="M18" s="23">
        <f t="shared" si="4"/>
        <v>95.771828480814008</v>
      </c>
      <c r="N18" s="23">
        <f t="shared" si="5"/>
        <v>94.486111498507469</v>
      </c>
      <c r="O18" s="23">
        <f>+SUM($G$15:G18)/SUM($C$15:C18)*100</f>
        <v>101.96564572701314</v>
      </c>
      <c r="P18" s="23">
        <f>+SUM($H$15:H18)/SUM($D$15:D18)*100</f>
        <v>100.97934691947816</v>
      </c>
      <c r="Q18" s="23">
        <f>+SUM($I$15:I18)/SUM($E$15:E18)*100</f>
        <v>102.71433880945153</v>
      </c>
      <c r="R18" s="23">
        <f>+SUM($J$15:J18)/SUM($F$15:F18)*100</f>
        <v>102.09858032240663</v>
      </c>
      <c r="S18" s="20" t="s">
        <v>25</v>
      </c>
    </row>
    <row r="19" spans="1:20" x14ac:dyDescent="0.2">
      <c r="A19" s="20" t="s">
        <v>26</v>
      </c>
      <c r="B19" s="42">
        <v>7637059604</v>
      </c>
      <c r="C19" s="17">
        <f t="shared" si="1"/>
        <v>775203520</v>
      </c>
      <c r="D19" s="22">
        <f>ROUND((B19*0.023447+D51),0)</f>
        <v>189928913</v>
      </c>
      <c r="E19" s="22">
        <f>ROUND((B19*0.021958+E51),0)-1</f>
        <v>177867490</v>
      </c>
      <c r="F19" s="22">
        <f>ROUND((B19*0.050295+F51),0)+1</f>
        <v>407407117</v>
      </c>
      <c r="G19" s="22">
        <f t="shared" si="0"/>
        <v>734470177</v>
      </c>
      <c r="H19" s="38">
        <v>180191765</v>
      </c>
      <c r="I19" s="38">
        <v>170871560</v>
      </c>
      <c r="J19" s="125">
        <v>383406852</v>
      </c>
      <c r="K19" s="23">
        <f t="shared" si="2"/>
        <v>94.745464649076922</v>
      </c>
      <c r="L19" s="23">
        <f t="shared" si="3"/>
        <v>94.87326713653124</v>
      </c>
      <c r="M19" s="23">
        <f t="shared" si="4"/>
        <v>96.066774203650141</v>
      </c>
      <c r="N19" s="23">
        <f t="shared" si="5"/>
        <v>94.109021664439894</v>
      </c>
      <c r="O19" s="23">
        <f>+SUM($G$15:G19)/SUM($C$15:C19)*100</f>
        <v>100.44317620294858</v>
      </c>
      <c r="P19" s="23">
        <f>+SUM($H$15:H19)/SUM($D$15:D19)*100</f>
        <v>99.691800208923837</v>
      </c>
      <c r="Q19" s="23">
        <f>+SUM($I$15:I19)/SUM($E$15:E19)*100</f>
        <v>101.31261295424461</v>
      </c>
      <c r="R19" s="23">
        <f>+SUM($J$15:J19)/SUM($F$15:F19)*100</f>
        <v>100.41387748184634</v>
      </c>
      <c r="S19" s="20" t="s">
        <v>26</v>
      </c>
    </row>
    <row r="20" spans="1:20" x14ac:dyDescent="0.2">
      <c r="A20" s="20" t="s">
        <v>27</v>
      </c>
      <c r="B20" s="17">
        <v>7624032614</v>
      </c>
      <c r="C20" s="17">
        <f>SUM(D20:F20)</f>
        <v>714238050</v>
      </c>
      <c r="D20" s="22">
        <f>ROUND((B20*0.023447+D55),0)</f>
        <v>174992054</v>
      </c>
      <c r="E20" s="22">
        <f>ROUND((B20*0.021958+E55),0)</f>
        <v>163879196</v>
      </c>
      <c r="F20" s="22">
        <f>ROUND((B20*0.050295+F55),0)</f>
        <v>375366800</v>
      </c>
      <c r="G20" s="22">
        <f t="shared" si="0"/>
        <v>744885796</v>
      </c>
      <c r="H20" s="22">
        <v>179939554</v>
      </c>
      <c r="I20" s="22">
        <v>170093533</v>
      </c>
      <c r="J20" s="125">
        <v>394852709</v>
      </c>
      <c r="K20" s="23">
        <f t="shared" si="2"/>
        <v>104.29097077647991</v>
      </c>
      <c r="L20" s="23">
        <f t="shared" si="3"/>
        <v>102.8272712314126</v>
      </c>
      <c r="M20" s="23">
        <f t="shared" si="4"/>
        <v>103.79202311927378</v>
      </c>
      <c r="N20" s="23">
        <f t="shared" si="5"/>
        <v>105.19116474872045</v>
      </c>
      <c r="O20" s="23">
        <f>+SUM($G$15:G20)/SUM($C$15:C20)*100</f>
        <v>101.06911740156244</v>
      </c>
      <c r="P20" s="23">
        <f>+SUM($H$15:H20)/SUM($D$15:D20)*100</f>
        <v>100.20186394868801</v>
      </c>
      <c r="Q20" s="23">
        <f>+SUM($I$15:I20)/SUM($E$15:E20)*100</f>
        <v>101.7159517867902</v>
      </c>
      <c r="R20" s="23">
        <f>+SUM($J$15:J20)/SUM($F$15:F20)*100</f>
        <v>101.19102419805057</v>
      </c>
      <c r="S20" s="20" t="s">
        <v>27</v>
      </c>
    </row>
    <row r="21" spans="1:20" x14ac:dyDescent="0.2">
      <c r="A21" s="20" t="s">
        <v>28</v>
      </c>
      <c r="B21" s="17">
        <v>7432295624</v>
      </c>
      <c r="C21" s="17">
        <f t="shared" ref="C21" si="6">SUM(D21:F21)</f>
        <v>733688076</v>
      </c>
      <c r="D21" s="22">
        <f>ROUND((B21*0.023447+D59),0)</f>
        <v>179757412</v>
      </c>
      <c r="E21" s="22">
        <f>ROUND((B21*0.021958+E59),0)+1</f>
        <v>168341931</v>
      </c>
      <c r="F21" s="22">
        <f>ROUND((B21*0.050295+F59),0)</f>
        <v>385588733</v>
      </c>
      <c r="G21" s="22">
        <f t="shared" si="0"/>
        <v>736566508</v>
      </c>
      <c r="H21" s="43">
        <v>179270906</v>
      </c>
      <c r="I21" s="22">
        <v>170792372</v>
      </c>
      <c r="J21" s="125">
        <v>386503230</v>
      </c>
      <c r="K21" s="23">
        <f t="shared" si="2"/>
        <v>100.39232367189241</v>
      </c>
      <c r="L21" s="23">
        <f t="shared" si="3"/>
        <v>99.729354136451406</v>
      </c>
      <c r="M21" s="23">
        <f t="shared" si="4"/>
        <v>101.45563317792761</v>
      </c>
      <c r="N21" s="23">
        <f t="shared" si="5"/>
        <v>100.23716901499817</v>
      </c>
      <c r="O21" s="23">
        <f>+SUM($G$15:G21)/SUM($C$15:C21)*100</f>
        <v>100.97221457727228</v>
      </c>
      <c r="P21" s="23">
        <f>+SUM($H$15:H21)/SUM($D$15:D21)*100</f>
        <v>100.13421034419292</v>
      </c>
      <c r="Q21" s="23">
        <f>+SUM($I$15:I21)/SUM($E$15:E21)*100</f>
        <v>101.67867956127989</v>
      </c>
      <c r="R21" s="23">
        <f>+SUM($J$15:J21)/SUM($F$15:F21)*100</f>
        <v>101.05445192058282</v>
      </c>
      <c r="S21" s="20" t="s">
        <v>28</v>
      </c>
    </row>
    <row r="22" spans="1:20" x14ac:dyDescent="0.2">
      <c r="A22" s="20" t="s">
        <v>29</v>
      </c>
      <c r="B22" s="42">
        <v>7684528627</v>
      </c>
      <c r="C22" s="17">
        <f>SUM(D22:F22)</f>
        <v>761825035</v>
      </c>
      <c r="D22" s="22">
        <f>ROUND((B22*0.023447+D63),0)-1</f>
        <v>186651113</v>
      </c>
      <c r="E22" s="22">
        <f>ROUND((B22*0.021958+E63),0)+1</f>
        <v>174797849</v>
      </c>
      <c r="F22" s="22">
        <f>ROUND((B22*0.050295+F63),0)</f>
        <v>400376073</v>
      </c>
      <c r="G22" s="22">
        <f t="shared" si="0"/>
        <v>727259936</v>
      </c>
      <c r="H22" s="43">
        <v>179525717</v>
      </c>
      <c r="I22" s="22">
        <v>171666815</v>
      </c>
      <c r="J22" s="125">
        <v>376067404</v>
      </c>
      <c r="K22" s="23">
        <f t="shared" si="2"/>
        <v>95.462855982410716</v>
      </c>
      <c r="L22" s="23">
        <f t="shared" si="3"/>
        <v>96.182505485515108</v>
      </c>
      <c r="M22" s="23">
        <f t="shared" si="4"/>
        <v>98.208768575865022</v>
      </c>
      <c r="N22" s="23">
        <f t="shared" si="5"/>
        <v>93.92854102947355</v>
      </c>
      <c r="O22" s="23">
        <f>+SUM($G$15:G22)/SUM($C$15:C22)*100</f>
        <v>100.25914882327174</v>
      </c>
      <c r="P22" s="23">
        <f>+SUM($H$15:H22)/SUM($D$15:D22)*100</f>
        <v>99.622748738725079</v>
      </c>
      <c r="Q22" s="23">
        <f>+SUM($I$15:I22)/SUM($E$15:E22)*100</f>
        <v>101.2295756120602</v>
      </c>
      <c r="R22" s="23">
        <f>+SUM($J$15:J22)/SUM($F$15:F22)*100</f>
        <v>100.13215889189073</v>
      </c>
      <c r="S22" s="20" t="s">
        <v>29</v>
      </c>
    </row>
    <row r="23" spans="1:20" x14ac:dyDescent="0.2">
      <c r="A23" s="20" t="s">
        <v>30</v>
      </c>
      <c r="B23" s="21">
        <v>7768440617</v>
      </c>
      <c r="C23" s="17">
        <f>SUM(D23:F23)</f>
        <v>802257406</v>
      </c>
      <c r="D23" s="22">
        <f>ROUND((B23*0.023447+D67),0)</f>
        <v>196557256</v>
      </c>
      <c r="E23" s="22">
        <f>ROUND((B23*0.021958+E67),0)-1</f>
        <v>184074901</v>
      </c>
      <c r="F23" s="22">
        <f>ROUND((B23*0.050295+F67),0)+1</f>
        <v>421625249</v>
      </c>
      <c r="G23" s="22">
        <f t="shared" si="0"/>
        <v>734737747.08000004</v>
      </c>
      <c r="H23" s="43">
        <v>179981523</v>
      </c>
      <c r="I23" s="22">
        <v>172440570.08000001</v>
      </c>
      <c r="J23" s="43">
        <v>382315654</v>
      </c>
      <c r="K23" s="23">
        <f t="shared" si="2"/>
        <v>91.583791135485015</v>
      </c>
      <c r="L23" s="23">
        <f t="shared" si="3"/>
        <v>91.566969677273065</v>
      </c>
      <c r="M23" s="23">
        <f t="shared" si="4"/>
        <v>93.679566928030027</v>
      </c>
      <c r="N23" s="23">
        <f t="shared" si="5"/>
        <v>90.676650629146735</v>
      </c>
      <c r="O23" s="23">
        <f>+SUM($G$15:G23)/SUM($C$15:C23)*100</f>
        <v>99.218552050348094</v>
      </c>
      <c r="P23" s="23">
        <f>+SUM($H$15:H23)/SUM($D$15:D23)*100</f>
        <v>98.656469537641826</v>
      </c>
      <c r="Q23" s="23">
        <f>+SUM($I$15:I23)/SUM($E$15:E23)*100</f>
        <v>100.32396284872426</v>
      </c>
      <c r="R23" s="23">
        <f>+SUM($J$15:J23)/SUM($F$15:F23)*100</f>
        <v>98.997984169527413</v>
      </c>
      <c r="S23" s="20" t="s">
        <v>30</v>
      </c>
    </row>
    <row r="24" spans="1:20" x14ac:dyDescent="0.2">
      <c r="A24" s="20" t="s">
        <v>31</v>
      </c>
      <c r="B24" s="42">
        <v>8055169613</v>
      </c>
      <c r="C24" s="17">
        <f t="shared" si="1"/>
        <v>804897966</v>
      </c>
      <c r="D24" s="22">
        <f>ROUND((B24*0.023447+D71),0)</f>
        <v>197204207</v>
      </c>
      <c r="E24" s="22">
        <f>ROUND((B24*0.021958+E71),0)</f>
        <v>184680768</v>
      </c>
      <c r="F24" s="22">
        <f>ROUND((B24*0.050295+F71),0)</f>
        <v>423012991</v>
      </c>
      <c r="G24" s="22">
        <f t="shared" si="0"/>
        <v>734956015</v>
      </c>
      <c r="H24" s="43">
        <v>179479553</v>
      </c>
      <c r="I24" s="22">
        <v>172474377</v>
      </c>
      <c r="J24" s="43">
        <v>383002085</v>
      </c>
      <c r="K24" s="23">
        <f t="shared" si="2"/>
        <v>91.310457479774527</v>
      </c>
      <c r="L24" s="23">
        <f t="shared" si="3"/>
        <v>91.012030488781619</v>
      </c>
      <c r="M24" s="23">
        <f t="shared" si="4"/>
        <v>93.39054567934221</v>
      </c>
      <c r="N24" s="23">
        <f t="shared" si="5"/>
        <v>90.541447461125372</v>
      </c>
      <c r="O24" s="23">
        <f>+SUM($G$15:G24)/SUM($C$15:C24)*100</f>
        <v>98.369092145893831</v>
      </c>
      <c r="P24" s="23">
        <f>+SUM($H$15:H24)/SUM($D$15:D24)*100</f>
        <v>97.83533058857364</v>
      </c>
      <c r="Q24" s="23">
        <f>+SUM($I$15:I24)/SUM($E$15:E24)*100</f>
        <v>99.579199387124007</v>
      </c>
      <c r="R24" s="23">
        <f>+SUM($J$15:J24)/SUM($F$15:F24)*100</f>
        <v>98.089612525838945</v>
      </c>
      <c r="S24" s="20" t="s">
        <v>31</v>
      </c>
    </row>
    <row r="25" spans="1:20" ht="13.5" customHeight="1" x14ac:dyDescent="0.2">
      <c r="A25" s="20" t="s">
        <v>32</v>
      </c>
      <c r="B25" s="17">
        <v>8007718620</v>
      </c>
      <c r="C25" s="17">
        <f t="shared" si="1"/>
        <v>772152543</v>
      </c>
      <c r="D25" s="22">
        <f>ROUND((B25*0.023447+D75),0)</f>
        <v>189181407</v>
      </c>
      <c r="E25" s="22">
        <f>ROUND((B25*0.021958+E75),0)+1</f>
        <v>177167456</v>
      </c>
      <c r="F25" s="22">
        <f>ROUND((B25*0.050295+F75),0)-1</f>
        <v>405803680</v>
      </c>
      <c r="G25" s="22">
        <f t="shared" si="0"/>
        <v>738072951</v>
      </c>
      <c r="H25" s="43">
        <v>180876544</v>
      </c>
      <c r="I25" s="22">
        <v>171605356</v>
      </c>
      <c r="J25" s="43">
        <v>385591051</v>
      </c>
      <c r="K25" s="23">
        <f t="shared" si="2"/>
        <v>95.586417177674178</v>
      </c>
      <c r="L25" s="23">
        <f t="shared" si="3"/>
        <v>95.610106124223933</v>
      </c>
      <c r="M25" s="23">
        <f t="shared" si="4"/>
        <v>96.860540798192645</v>
      </c>
      <c r="N25" s="23">
        <f t="shared" si="5"/>
        <v>95.019111458033095</v>
      </c>
      <c r="O25" s="23">
        <f>+SUM($G$15:G25)/SUM($C$15:C25)*100</f>
        <v>98.109134879749377</v>
      </c>
      <c r="P25" s="23">
        <f>+SUM($H$15:H25)/SUM($D$15:D25)*100</f>
        <v>97.627450302805585</v>
      </c>
      <c r="Q25" s="23">
        <f>+SUM($I$15:I25)/SUM($E$15:E25)*100</f>
        <v>99.325222525305435</v>
      </c>
      <c r="R25" s="23">
        <f>+SUM($J$15:J25)/SUM($F$15:F25)*100</f>
        <v>97.802766569303287</v>
      </c>
      <c r="S25" s="20" t="s">
        <v>32</v>
      </c>
    </row>
    <row r="26" spans="1:20" x14ac:dyDescent="0.2">
      <c r="A26" s="20" t="s">
        <v>33</v>
      </c>
      <c r="B26" s="25">
        <v>8557365603</v>
      </c>
      <c r="C26" s="17">
        <f>SUM(D26:F26)</f>
        <v>850267706</v>
      </c>
      <c r="D26" s="22">
        <f>ROUND((B26*0.023447+D79),0)</f>
        <v>208320030</v>
      </c>
      <c r="E26" s="22">
        <f>ROUND((B26*0.021958+E79),0)</f>
        <v>195090682</v>
      </c>
      <c r="F26" s="22">
        <f>ROUND((B26*0.050295+F79),0)+1</f>
        <v>446856994</v>
      </c>
      <c r="G26" s="44">
        <f t="shared" si="0"/>
        <v>720253325</v>
      </c>
      <c r="H26" s="43">
        <v>180887084</v>
      </c>
      <c r="I26" s="43">
        <v>168973649</v>
      </c>
      <c r="J26" s="43">
        <f>370392592</f>
        <v>370392592</v>
      </c>
      <c r="K26" s="26">
        <f t="shared" si="2"/>
        <v>84.709006342056696</v>
      </c>
      <c r="L26" s="23">
        <f t="shared" si="3"/>
        <v>86.831345022367742</v>
      </c>
      <c r="M26" s="23">
        <f t="shared" si="4"/>
        <v>86.612875237167913</v>
      </c>
      <c r="N26" s="23">
        <f t="shared" si="5"/>
        <v>82.888395386735297</v>
      </c>
      <c r="O26" s="23">
        <f>+SUM($G$15:G26)/SUM($C$15:C26)*100</f>
        <v>96.859231652129537</v>
      </c>
      <c r="P26" s="23">
        <f>+SUM($H$15:H26)/SUM($D$15:D26)*100</f>
        <v>96.620438558053394</v>
      </c>
      <c r="Q26" s="23">
        <f>+SUM($I$15:I26)/SUM($E$15:E26)*100</f>
        <v>98.139472412803869</v>
      </c>
      <c r="R26" s="23">
        <f>+SUM($J$15:J26)/SUM($F$15:F26)*100</f>
        <v>96.411621653798534</v>
      </c>
      <c r="S26" s="20" t="s">
        <v>33</v>
      </c>
    </row>
    <row r="27" spans="1:20" x14ac:dyDescent="0.2">
      <c r="A27" s="27" t="s">
        <v>34</v>
      </c>
      <c r="B27" s="28">
        <f>SUM(B15:B26)</f>
        <v>92345267349</v>
      </c>
      <c r="C27" s="29">
        <f>SUM(C15:C26)</f>
        <v>9115662957</v>
      </c>
      <c r="D27" s="29">
        <f>SUM(D15:D26)</f>
        <v>2233385050</v>
      </c>
      <c r="E27" s="29">
        <f>SUM(E15:E26)</f>
        <v>2091554094</v>
      </c>
      <c r="F27" s="29">
        <f>SUM(F15:F26)</f>
        <v>4790723813</v>
      </c>
      <c r="G27" s="29">
        <f t="shared" ref="G27" si="7">SUM(G15:G26)</f>
        <v>8829361100.1479912</v>
      </c>
      <c r="H27" s="29">
        <f>SUM(H15:H26)</f>
        <v>2157906430</v>
      </c>
      <c r="I27" s="29">
        <f>SUM(I15:I26)</f>
        <v>2052640153.0799999</v>
      </c>
      <c r="J27" s="29">
        <f>SUM(J15:J26)</f>
        <v>4618814517.0679903</v>
      </c>
      <c r="K27" s="30">
        <f>+G27/C27*100</f>
        <v>96.859231652129537</v>
      </c>
      <c r="L27" s="30">
        <f>+H27/D27*100</f>
        <v>96.620438558053394</v>
      </c>
      <c r="M27" s="30">
        <f>+I27/E27*100</f>
        <v>98.139472412803869</v>
      </c>
      <c r="N27" s="30">
        <f>+J27/F27*100</f>
        <v>96.411621653798534</v>
      </c>
      <c r="O27" s="30">
        <f>+SUM($G$15:G26)/SUM($C$15:C26)*100</f>
        <v>96.859231652129537</v>
      </c>
      <c r="P27" s="30">
        <f>+SUM($H$15:H26)/SUM($D$15:D26)*100</f>
        <v>96.620438558053394</v>
      </c>
      <c r="Q27" s="30">
        <f>+SUM($I$15:I26)/SUM($E$15:E26)*100</f>
        <v>98.139472412803869</v>
      </c>
      <c r="R27" s="30">
        <f>+SUM($J$15:J26)/SUM($F$15:F26)*100</f>
        <v>96.411621653798534</v>
      </c>
      <c r="S27" s="31" t="s">
        <v>34</v>
      </c>
    </row>
    <row r="28" spans="1:20" x14ac:dyDescent="0.2">
      <c r="A28" s="53" t="s">
        <v>35</v>
      </c>
      <c r="B28" s="54"/>
      <c r="C28" s="54"/>
      <c r="D28" s="54"/>
      <c r="E28" s="54"/>
      <c r="F28" s="54"/>
      <c r="I28" s="55"/>
      <c r="J28" s="84"/>
      <c r="K28" s="56"/>
      <c r="L28" s="56"/>
      <c r="M28" s="56"/>
      <c r="N28" s="57"/>
      <c r="O28" s="57"/>
      <c r="P28" s="57"/>
      <c r="Q28" s="57"/>
      <c r="R28" s="57"/>
      <c r="S28" s="58"/>
    </row>
    <row r="29" spans="1:20" x14ac:dyDescent="0.2">
      <c r="A29" s="53"/>
      <c r="C29" s="54"/>
      <c r="D29" s="54"/>
      <c r="E29" s="54"/>
      <c r="F29" s="54"/>
      <c r="G29" s="53"/>
      <c r="J29" s="59"/>
      <c r="K29" s="53"/>
      <c r="L29" s="53"/>
      <c r="M29" s="53"/>
      <c r="N29" s="53"/>
      <c r="O29" s="53"/>
      <c r="P29" s="53"/>
      <c r="Q29" s="53"/>
      <c r="R29" s="53"/>
      <c r="S29" s="53"/>
    </row>
    <row r="30" spans="1:20" x14ac:dyDescent="0.2">
      <c r="A30" s="60" t="s">
        <v>36</v>
      </c>
      <c r="B30" s="61"/>
      <c r="C30" s="61"/>
      <c r="D30" s="61"/>
      <c r="E30" s="61"/>
      <c r="F30" s="61"/>
      <c r="G30" s="62"/>
      <c r="I30" s="63" t="s">
        <v>53</v>
      </c>
      <c r="M30" s="64" t="s">
        <v>91</v>
      </c>
    </row>
    <row r="31" spans="1:20" x14ac:dyDescent="0.2">
      <c r="A31" s="65" t="s">
        <v>37</v>
      </c>
      <c r="B31" s="66" t="s">
        <v>38</v>
      </c>
      <c r="C31" s="67"/>
      <c r="D31" s="68" t="s">
        <v>16</v>
      </c>
      <c r="E31" s="68" t="s">
        <v>17</v>
      </c>
      <c r="F31" s="68" t="s">
        <v>18</v>
      </c>
      <c r="G31" s="69" t="s">
        <v>39</v>
      </c>
      <c r="I31" s="70" t="s">
        <v>52</v>
      </c>
      <c r="M31" s="71" t="s">
        <v>12</v>
      </c>
      <c r="N31" s="133" t="s">
        <v>48</v>
      </c>
      <c r="O31" s="134"/>
      <c r="P31" s="133" t="s">
        <v>50</v>
      </c>
      <c r="Q31" s="145"/>
      <c r="R31" s="133" t="s">
        <v>49</v>
      </c>
      <c r="S31" s="145"/>
    </row>
    <row r="32" spans="1:20" x14ac:dyDescent="0.2">
      <c r="A32" s="130" t="s">
        <v>22</v>
      </c>
      <c r="B32" s="72" t="s">
        <v>65</v>
      </c>
      <c r="C32" s="73"/>
      <c r="D32" s="74">
        <f>ROUND((8072532442-7806207911)*0.023447,0)</f>
        <v>6244511</v>
      </c>
      <c r="E32" s="74">
        <f>ROUND((8072532442-7806207911)*0.021958,0)</f>
        <v>5847954</v>
      </c>
      <c r="F32" s="74">
        <f>ROUND((8072532442-7806207911)*0.050295,0)</f>
        <v>13394792</v>
      </c>
      <c r="G32" s="16">
        <f>SUM(D32:F32)</f>
        <v>25487257</v>
      </c>
      <c r="I32" s="75" t="s">
        <v>55</v>
      </c>
      <c r="M32" s="20" t="s">
        <v>22</v>
      </c>
      <c r="N32" s="154">
        <v>7865948614</v>
      </c>
      <c r="O32" s="155"/>
      <c r="P32" s="146">
        <v>34970240</v>
      </c>
      <c r="Q32" s="147"/>
      <c r="R32" s="146">
        <f t="shared" ref="R32" si="8">N32+P32</f>
        <v>7900918854</v>
      </c>
      <c r="S32" s="147"/>
      <c r="T32" s="54"/>
    </row>
    <row r="33" spans="1:22" x14ac:dyDescent="0.2">
      <c r="A33" s="127"/>
      <c r="B33" s="76" t="s">
        <v>66</v>
      </c>
      <c r="D33" s="77">
        <f>ROUND(37684850*0.023447,0)</f>
        <v>883597</v>
      </c>
      <c r="E33" s="77">
        <f>ROUND(37684850*0.021958,0)</f>
        <v>827484</v>
      </c>
      <c r="F33" s="77">
        <f>ROUND(37684850*0.050295,0)</f>
        <v>1895360</v>
      </c>
      <c r="G33" s="22">
        <f>SUM(D33:F33)</f>
        <v>3606441</v>
      </c>
      <c r="I33" s="70" t="s">
        <v>54</v>
      </c>
      <c r="M33" s="20" t="s">
        <v>23</v>
      </c>
      <c r="N33" s="148">
        <v>6495174470</v>
      </c>
      <c r="O33" s="149"/>
      <c r="P33" s="148">
        <v>23526332.170000002</v>
      </c>
      <c r="Q33" s="149"/>
      <c r="R33" s="148">
        <f t="shared" ref="R33:R38" si="9">N33+P33</f>
        <v>6518700802.1700001</v>
      </c>
      <c r="S33" s="149"/>
      <c r="T33" s="54"/>
    </row>
    <row r="34" spans="1:22" ht="14.25" customHeight="1" x14ac:dyDescent="0.2">
      <c r="A34" s="127"/>
      <c r="B34" s="78" t="s">
        <v>67</v>
      </c>
      <c r="C34" s="79"/>
      <c r="D34" s="22">
        <v>889909</v>
      </c>
      <c r="E34" s="22">
        <v>833395</v>
      </c>
      <c r="F34" s="22">
        <v>1908900</v>
      </c>
      <c r="G34" s="22">
        <f>SUM(D34:F34)</f>
        <v>3632204</v>
      </c>
      <c r="I34" s="70" t="s">
        <v>56</v>
      </c>
      <c r="M34" s="32" t="s">
        <v>24</v>
      </c>
      <c r="N34" s="148">
        <v>8028033730</v>
      </c>
      <c r="O34" s="149"/>
      <c r="P34" s="148">
        <v>42325142</v>
      </c>
      <c r="Q34" s="149"/>
      <c r="R34" s="148">
        <f t="shared" si="9"/>
        <v>8070358872</v>
      </c>
      <c r="S34" s="149"/>
    </row>
    <row r="35" spans="1:22" x14ac:dyDescent="0.2">
      <c r="A35" s="128"/>
      <c r="B35" s="80" t="s">
        <v>41</v>
      </c>
      <c r="C35" s="80"/>
      <c r="D35" s="81">
        <f>SUM(D32:D34)</f>
        <v>8018017</v>
      </c>
      <c r="E35" s="81">
        <f>SUM(E32:E34)</f>
        <v>7508833</v>
      </c>
      <c r="F35" s="81">
        <f>SUM(F32:F34)</f>
        <v>17199052</v>
      </c>
      <c r="G35" s="81">
        <f>SUM(G32:G34)</f>
        <v>32725902</v>
      </c>
      <c r="I35" s="70" t="s">
        <v>57</v>
      </c>
      <c r="M35" s="20" t="s">
        <v>25</v>
      </c>
      <c r="N35" s="148">
        <v>7762721639</v>
      </c>
      <c r="O35" s="149"/>
      <c r="P35" s="148">
        <v>31676557.989999998</v>
      </c>
      <c r="Q35" s="149"/>
      <c r="R35" s="148">
        <f t="shared" si="9"/>
        <v>7794398196.9899998</v>
      </c>
      <c r="S35" s="149"/>
    </row>
    <row r="36" spans="1:22" x14ac:dyDescent="0.2">
      <c r="A36" s="126" t="s">
        <v>23</v>
      </c>
      <c r="B36" s="72" t="s">
        <v>68</v>
      </c>
      <c r="C36" s="73"/>
      <c r="D36" s="16">
        <f>IF(N32=0,0,(ROUND((N32-B15)*0.023447,0)))</f>
        <v>6706007</v>
      </c>
      <c r="E36" s="82">
        <f>IF(N32=0,0,(ROUND((N32-B15)*0.021958,0)))</f>
        <v>6280142</v>
      </c>
      <c r="F36" s="83">
        <f>IF(N32=0,0,(ROUND((N32-B15)*0.050295,0)))</f>
        <v>14384723</v>
      </c>
      <c r="G36" s="16">
        <f>SUM(D36:F36)</f>
        <v>27370872</v>
      </c>
      <c r="I36" s="70" t="s">
        <v>58</v>
      </c>
      <c r="M36" s="20" t="s">
        <v>26</v>
      </c>
      <c r="N36" s="148">
        <v>7407429985</v>
      </c>
      <c r="O36" s="149"/>
      <c r="P36" s="148">
        <v>30945456.02</v>
      </c>
      <c r="Q36" s="149"/>
      <c r="R36" s="148">
        <f t="shared" si="9"/>
        <v>7438375441.0200005</v>
      </c>
      <c r="S36" s="149"/>
    </row>
    <row r="37" spans="1:22" x14ac:dyDescent="0.2">
      <c r="A37" s="127"/>
      <c r="B37" s="76" t="s">
        <v>69</v>
      </c>
      <c r="D37" s="22">
        <f>ROUND(P32*0.023447,0)</f>
        <v>819947</v>
      </c>
      <c r="E37" s="22">
        <f>ROUND(P32*0.021958,0)</f>
        <v>767877</v>
      </c>
      <c r="F37" s="22">
        <f>ROUND(P32*0.050295,0)</f>
        <v>1758828</v>
      </c>
      <c r="G37" s="22">
        <f>SUM(D37:F37)</f>
        <v>3346652</v>
      </c>
      <c r="M37" s="20" t="s">
        <v>27</v>
      </c>
      <c r="N37" s="148">
        <v>7790778079</v>
      </c>
      <c r="O37" s="149"/>
      <c r="P37" s="148">
        <v>29546921</v>
      </c>
      <c r="Q37" s="149"/>
      <c r="R37" s="148">
        <f t="shared" si="9"/>
        <v>7820325000</v>
      </c>
      <c r="S37" s="149"/>
    </row>
    <row r="38" spans="1:22" x14ac:dyDescent="0.2">
      <c r="A38" s="127"/>
      <c r="B38" s="79" t="s">
        <v>40</v>
      </c>
      <c r="C38" s="79"/>
      <c r="D38" s="22">
        <v>889909</v>
      </c>
      <c r="E38" s="22">
        <v>833395</v>
      </c>
      <c r="F38" s="22">
        <v>1908900</v>
      </c>
      <c r="G38" s="22">
        <f>SUM(D38:F38)</f>
        <v>3632204</v>
      </c>
      <c r="I38" s="85" t="s">
        <v>42</v>
      </c>
      <c r="M38" s="20" t="s">
        <v>28</v>
      </c>
      <c r="N38" s="156">
        <v>7635134149</v>
      </c>
      <c r="O38" s="157"/>
      <c r="P38" s="148">
        <v>35232958</v>
      </c>
      <c r="Q38" s="149"/>
      <c r="R38" s="148">
        <f t="shared" si="9"/>
        <v>7670367107</v>
      </c>
      <c r="S38" s="149"/>
      <c r="T38" s="84"/>
    </row>
    <row r="39" spans="1:22" x14ac:dyDescent="0.2">
      <c r="A39" s="128"/>
      <c r="B39" s="80" t="s">
        <v>41</v>
      </c>
      <c r="C39" s="80"/>
      <c r="D39" s="86">
        <f>SUM(D36:D38)</f>
        <v>8415863</v>
      </c>
      <c r="E39" s="86">
        <f>SUM(E36:E38)</f>
        <v>7881414</v>
      </c>
      <c r="F39" s="86">
        <f>SUM(F36:F38)</f>
        <v>18052451</v>
      </c>
      <c r="G39" s="81">
        <f>SUM(G36:G38)</f>
        <v>34349728</v>
      </c>
      <c r="M39" s="20" t="s">
        <v>29</v>
      </c>
      <c r="N39" s="148">
        <v>7855455525</v>
      </c>
      <c r="O39" s="149"/>
      <c r="P39" s="148">
        <v>405723410</v>
      </c>
      <c r="Q39" s="149"/>
      <c r="R39" s="148">
        <f t="shared" ref="R39" si="10">N39+P39</f>
        <v>8261178935</v>
      </c>
      <c r="S39" s="149"/>
    </row>
    <row r="40" spans="1:22" x14ac:dyDescent="0.2">
      <c r="A40" s="126" t="s">
        <v>24</v>
      </c>
      <c r="B40" s="72" t="s">
        <v>70</v>
      </c>
      <c r="C40" s="73"/>
      <c r="D40" s="16">
        <f>IF(N33=0,0,(ROUND((N33-B16)*0.023447,0)))</f>
        <v>-16897295</v>
      </c>
      <c r="E40" s="82">
        <f>IF(N33=0,0,(ROUND((N33-B16)*0.021958,0)))</f>
        <v>-15824233</v>
      </c>
      <c r="F40" s="83">
        <f>IF(N33=0,0,(ROUND((N33-B16)*0.050295,0)))</f>
        <v>-36245551</v>
      </c>
      <c r="G40" s="16">
        <f>SUM(D40:F40)</f>
        <v>-68967079</v>
      </c>
      <c r="I40" s="63" t="s">
        <v>60</v>
      </c>
      <c r="M40" s="20" t="s">
        <v>30</v>
      </c>
      <c r="N40" s="148">
        <v>8013422205</v>
      </c>
      <c r="O40" s="149"/>
      <c r="P40" s="148">
        <v>72531785</v>
      </c>
      <c r="Q40" s="149"/>
      <c r="R40" s="148">
        <f t="shared" ref="R40" si="11">N40+P40</f>
        <v>8085953990</v>
      </c>
      <c r="S40" s="149"/>
    </row>
    <row r="41" spans="1:22" x14ac:dyDescent="0.2">
      <c r="A41" s="127"/>
      <c r="B41" s="76" t="s">
        <v>71</v>
      </c>
      <c r="D41" s="22">
        <f>ROUND(P33*0.023447,0)</f>
        <v>551622</v>
      </c>
      <c r="E41" s="22">
        <f>ROUND(P33*0.021958,0)</f>
        <v>516591</v>
      </c>
      <c r="F41" s="22">
        <f>ROUND(P33*0.050295,0)</f>
        <v>1183257</v>
      </c>
      <c r="G41" s="22">
        <f>SUM(D41:F41)</f>
        <v>2251470</v>
      </c>
      <c r="I41" s="63" t="s">
        <v>59</v>
      </c>
      <c r="M41" s="20" t="s">
        <v>31</v>
      </c>
      <c r="N41" s="158">
        <v>8002335308</v>
      </c>
      <c r="O41" s="159"/>
      <c r="P41" s="148">
        <v>75631255</v>
      </c>
      <c r="Q41" s="149"/>
      <c r="R41" s="148">
        <f t="shared" ref="R41" si="12">N41+P41</f>
        <v>8077966563</v>
      </c>
      <c r="S41" s="149"/>
    </row>
    <row r="42" spans="1:22" x14ac:dyDescent="0.2">
      <c r="A42" s="127"/>
      <c r="B42" s="79" t="s">
        <v>40</v>
      </c>
      <c r="C42" s="79"/>
      <c r="D42" s="22">
        <v>889909</v>
      </c>
      <c r="E42" s="22">
        <v>833395</v>
      </c>
      <c r="F42" s="22">
        <v>1908900</v>
      </c>
      <c r="G42" s="22">
        <f>SUM(D42:F42)</f>
        <v>3632204</v>
      </c>
      <c r="M42" s="20" t="s">
        <v>32</v>
      </c>
      <c r="N42" s="158">
        <v>8226314297</v>
      </c>
      <c r="O42" s="159"/>
      <c r="P42" s="148">
        <v>70804657</v>
      </c>
      <c r="Q42" s="149"/>
      <c r="R42" s="148">
        <f t="shared" ref="R42" si="13">N42+P42</f>
        <v>8297118954</v>
      </c>
      <c r="S42" s="149"/>
    </row>
    <row r="43" spans="1:22" x14ac:dyDescent="0.2">
      <c r="A43" s="128"/>
      <c r="B43" s="80" t="s">
        <v>41</v>
      </c>
      <c r="C43" s="80"/>
      <c r="D43" s="86">
        <f>SUM(D40:D42)</f>
        <v>-15455764</v>
      </c>
      <c r="E43" s="86">
        <f>SUM(E40:E42)</f>
        <v>-14474247</v>
      </c>
      <c r="F43" s="86">
        <f>SUM(F40:F42)</f>
        <v>-33153394</v>
      </c>
      <c r="G43" s="81">
        <f>SUM(G40:G42)</f>
        <v>-63083405</v>
      </c>
      <c r="I43" s="75" t="s">
        <v>90</v>
      </c>
      <c r="J43" s="60"/>
      <c r="K43" s="60"/>
      <c r="M43" s="20" t="s">
        <v>47</v>
      </c>
      <c r="N43" s="160">
        <v>8410295021</v>
      </c>
      <c r="O43" s="161"/>
      <c r="P43" s="162">
        <v>81368505</v>
      </c>
      <c r="Q43" s="163"/>
      <c r="R43" s="162">
        <f>N43+P43</f>
        <v>8491663526</v>
      </c>
      <c r="S43" s="163"/>
    </row>
    <row r="44" spans="1:22" ht="12" customHeight="1" x14ac:dyDescent="0.2">
      <c r="A44" s="126" t="s">
        <v>25</v>
      </c>
      <c r="B44" s="72" t="s">
        <v>72</v>
      </c>
      <c r="C44" s="73"/>
      <c r="D44" s="16">
        <f>IF(N34=0,0,(ROUND((N34-B17)*0.023447,0)))</f>
        <v>14401478</v>
      </c>
      <c r="E44" s="16">
        <f>IF(N34=0,0,(ROUND((N34-B17)*0.021958,0)))</f>
        <v>13486914</v>
      </c>
      <c r="F44" s="16">
        <f>IF(N34=0,0,(ROUND((N34-B17)*0.050295,0)))</f>
        <v>30891899</v>
      </c>
      <c r="G44" s="16">
        <f>SUM(D44:F44)</f>
        <v>58780291</v>
      </c>
      <c r="M44" s="31" t="s">
        <v>15</v>
      </c>
      <c r="N44" s="152">
        <f>SUM(N31:N43)</f>
        <v>93493043022</v>
      </c>
      <c r="O44" s="153"/>
      <c r="P44" s="152">
        <f>SUM(P31:P43)</f>
        <v>934283219.18000007</v>
      </c>
      <c r="Q44" s="153"/>
      <c r="R44" s="150">
        <f>SUM(R32:R43)</f>
        <v>94427326241.179993</v>
      </c>
      <c r="S44" s="151"/>
    </row>
    <row r="45" spans="1:22" x14ac:dyDescent="0.2">
      <c r="A45" s="127"/>
      <c r="B45" s="76" t="s">
        <v>73</v>
      </c>
      <c r="D45" s="22">
        <f>ROUND(P34*0.023447,0)</f>
        <v>992398</v>
      </c>
      <c r="E45" s="22">
        <f>ROUND(P34*0.021958,0)</f>
        <v>929375</v>
      </c>
      <c r="F45" s="22">
        <f>ROUND(P34*0.050295,0)</f>
        <v>2128743</v>
      </c>
      <c r="G45" s="22">
        <f>SUM(D45:F45)</f>
        <v>4050516</v>
      </c>
      <c r="I45" s="46" t="s">
        <v>12</v>
      </c>
      <c r="J45" s="46" t="s">
        <v>43</v>
      </c>
      <c r="K45" s="46" t="s">
        <v>44</v>
      </c>
      <c r="M45" s="64" t="s">
        <v>51</v>
      </c>
    </row>
    <row r="46" spans="1:22" x14ac:dyDescent="0.2">
      <c r="A46" s="127"/>
      <c r="B46" s="79" t="s">
        <v>40</v>
      </c>
      <c r="C46" s="79"/>
      <c r="D46" s="22">
        <v>889909</v>
      </c>
      <c r="E46" s="22">
        <v>833395</v>
      </c>
      <c r="F46" s="22">
        <v>1908900</v>
      </c>
      <c r="G46" s="44">
        <f>SUM(D46:F46)</f>
        <v>3632204</v>
      </c>
      <c r="I46" s="36" t="s">
        <v>22</v>
      </c>
      <c r="J46" s="87">
        <v>3.2000000000000002E-3</v>
      </c>
      <c r="K46" s="88">
        <v>0</v>
      </c>
      <c r="M46" s="64" t="s">
        <v>95</v>
      </c>
      <c r="N46" s="64"/>
      <c r="O46" s="64"/>
      <c r="P46" s="78"/>
      <c r="Q46" s="64"/>
      <c r="R46" s="64"/>
      <c r="S46" s="64"/>
      <c r="T46" s="91"/>
      <c r="U46" s="91"/>
      <c r="V46" s="91"/>
    </row>
    <row r="47" spans="1:22" x14ac:dyDescent="0.2">
      <c r="A47" s="128"/>
      <c r="B47" s="80" t="s">
        <v>41</v>
      </c>
      <c r="C47" s="80"/>
      <c r="D47" s="86">
        <f>SUM(D44:D46)</f>
        <v>16283785</v>
      </c>
      <c r="E47" s="86">
        <f>SUM(E44:E46)</f>
        <v>15249684</v>
      </c>
      <c r="F47" s="86">
        <f>SUM(F44:F46)</f>
        <v>34929542</v>
      </c>
      <c r="G47" s="81">
        <f>SUM(G44:G46)</f>
        <v>66463011</v>
      </c>
      <c r="I47" s="37" t="s">
        <v>23</v>
      </c>
      <c r="J47" s="89">
        <v>-8.0000000000000004E-4</v>
      </c>
      <c r="K47" s="90">
        <v>0</v>
      </c>
      <c r="M47" s="64" t="s">
        <v>94</v>
      </c>
      <c r="N47" s="64"/>
      <c r="O47" s="64"/>
      <c r="P47" s="64"/>
      <c r="Q47" s="64"/>
      <c r="R47" s="64"/>
      <c r="S47" s="64"/>
      <c r="T47" s="91"/>
      <c r="U47" s="91"/>
      <c r="V47" s="91"/>
    </row>
    <row r="48" spans="1:22" x14ac:dyDescent="0.2">
      <c r="A48" s="126" t="s">
        <v>26</v>
      </c>
      <c r="B48" s="72" t="s">
        <v>74</v>
      </c>
      <c r="C48" s="73"/>
      <c r="D48" s="16">
        <f>IF(N35=0,0,(ROUND((N35-B18)*0.023447,0)))</f>
        <v>9230147</v>
      </c>
      <c r="E48" s="16">
        <f>IF(N35=0,0,(ROUND((N35-B18)*0.021958,0)))</f>
        <v>8643987</v>
      </c>
      <c r="F48" s="16">
        <f>IF(N35=0,0,(ROUND((N35-B18)*0.050295,0)))</f>
        <v>19799131</v>
      </c>
      <c r="G48" s="16">
        <f>SUM(D48:F48)</f>
        <v>37673265</v>
      </c>
      <c r="H48" s="92"/>
      <c r="I48" s="37" t="s">
        <v>24</v>
      </c>
      <c r="J48" s="89">
        <v>1.4E-3</v>
      </c>
      <c r="K48" s="90">
        <v>0</v>
      </c>
      <c r="N48" s="64"/>
      <c r="O48" s="93"/>
      <c r="P48" s="93"/>
      <c r="Q48" s="93"/>
      <c r="R48" s="93"/>
      <c r="S48" s="64"/>
      <c r="T48" s="91"/>
      <c r="U48" s="91"/>
      <c r="V48" s="94"/>
    </row>
    <row r="49" spans="1:22" x14ac:dyDescent="0.2">
      <c r="A49" s="127"/>
      <c r="B49" s="76" t="s">
        <v>75</v>
      </c>
      <c r="D49" s="22">
        <f>ROUND(P35*0.023447,0)</f>
        <v>742720</v>
      </c>
      <c r="E49" s="22">
        <f>ROUND(P35*0.021958,0)</f>
        <v>695554</v>
      </c>
      <c r="F49" s="22">
        <f>ROUND(P35*0.050295,0)</f>
        <v>1593172</v>
      </c>
      <c r="G49" s="22">
        <f>SUM(D49:F49)</f>
        <v>3031446</v>
      </c>
      <c r="I49" s="37" t="s">
        <v>25</v>
      </c>
      <c r="J49" s="89">
        <v>6.1000000000000004E-3</v>
      </c>
      <c r="K49" s="90">
        <v>0</v>
      </c>
      <c r="M49" s="95" t="s">
        <v>61</v>
      </c>
      <c r="N49" s="64"/>
      <c r="O49" s="93"/>
      <c r="P49" s="93"/>
      <c r="Q49" s="93"/>
      <c r="R49" s="93"/>
      <c r="S49" s="64"/>
      <c r="T49" s="91"/>
      <c r="U49" s="91"/>
      <c r="V49" s="91"/>
    </row>
    <row r="50" spans="1:22" x14ac:dyDescent="0.2">
      <c r="A50" s="127"/>
      <c r="B50" s="79" t="s">
        <v>40</v>
      </c>
      <c r="C50" s="79"/>
      <c r="D50" s="44">
        <v>889909</v>
      </c>
      <c r="E50" s="44">
        <v>833395</v>
      </c>
      <c r="F50" s="44">
        <v>1908900</v>
      </c>
      <c r="G50" s="22">
        <f>SUM(D50:F50)</f>
        <v>3632204</v>
      </c>
      <c r="I50" s="37" t="s">
        <v>26</v>
      </c>
      <c r="J50" s="89">
        <v>-5.0000000000000001E-4</v>
      </c>
      <c r="K50" s="90">
        <v>0</v>
      </c>
      <c r="M50" s="93" t="s">
        <v>92</v>
      </c>
      <c r="N50" s="64"/>
      <c r="O50" s="93"/>
      <c r="P50" s="93"/>
      <c r="Q50" s="93"/>
      <c r="R50" s="93"/>
      <c r="S50" s="64"/>
      <c r="T50" s="91"/>
      <c r="U50" s="91"/>
      <c r="V50" s="91"/>
    </row>
    <row r="51" spans="1:22" x14ac:dyDescent="0.2">
      <c r="A51" s="128"/>
      <c r="B51" s="80" t="s">
        <v>41</v>
      </c>
      <c r="C51" s="80"/>
      <c r="D51" s="86">
        <f>SUM(D48:D50)</f>
        <v>10862776</v>
      </c>
      <c r="E51" s="86">
        <f>SUM(E48:E50)</f>
        <v>10172936</v>
      </c>
      <c r="F51" s="86">
        <f>SUM(F48:F50)</f>
        <v>23301203</v>
      </c>
      <c r="G51" s="81">
        <f>SUM(G48:G50)</f>
        <v>44336915</v>
      </c>
      <c r="H51" s="84"/>
      <c r="I51" s="37" t="s">
        <v>27</v>
      </c>
      <c r="J51" s="96">
        <v>5.0000000000000001E-4</v>
      </c>
      <c r="K51" s="90">
        <v>0</v>
      </c>
      <c r="M51" s="93" t="s">
        <v>62</v>
      </c>
      <c r="N51" s="64"/>
      <c r="O51" s="93"/>
      <c r="P51" s="93"/>
      <c r="Q51" s="93"/>
      <c r="R51" s="93"/>
      <c r="S51" s="64"/>
      <c r="T51" s="91"/>
      <c r="U51" s="91"/>
      <c r="V51" s="91"/>
    </row>
    <row r="52" spans="1:22" x14ac:dyDescent="0.2">
      <c r="A52" s="129" t="s">
        <v>27</v>
      </c>
      <c r="B52" s="99" t="s">
        <v>76</v>
      </c>
      <c r="C52" s="100"/>
      <c r="D52" s="16">
        <f>IF(N36=0,0,(ROUND((N36-B19)*0.023447,0)))</f>
        <v>-5384126</v>
      </c>
      <c r="E52" s="16">
        <f>IF(N36=0,0,(ROUND((N36-B19)*0.021958,0)))</f>
        <v>-5042207</v>
      </c>
      <c r="F52" s="16">
        <f>IF(N36=0,0,(ROUND((N36-B19)*0.050295,0)))</f>
        <v>-11549222</v>
      </c>
      <c r="G52" s="16">
        <f>SUM(D52:F52)</f>
        <v>-21975555</v>
      </c>
      <c r="H52" s="84"/>
      <c r="I52" s="37" t="s">
        <v>28</v>
      </c>
      <c r="J52" s="97">
        <v>-1E-4</v>
      </c>
      <c r="K52" s="90">
        <v>0</v>
      </c>
      <c r="M52" s="95" t="s">
        <v>93</v>
      </c>
      <c r="N52" s="64"/>
      <c r="O52" s="93"/>
      <c r="P52" s="93"/>
      <c r="Q52" s="93"/>
      <c r="R52" s="93"/>
      <c r="S52" s="64"/>
      <c r="T52" s="91"/>
      <c r="U52" s="91"/>
      <c r="V52" s="91"/>
    </row>
    <row r="53" spans="1:22" x14ac:dyDescent="0.2">
      <c r="A53" s="127"/>
      <c r="B53" s="76" t="s">
        <v>77</v>
      </c>
      <c r="C53" s="101"/>
      <c r="D53" s="22">
        <f>ROUND(P36*0.023447,0)</f>
        <v>725578</v>
      </c>
      <c r="E53" s="22">
        <f>ROUND(P36*0.021958,0)</f>
        <v>679500</v>
      </c>
      <c r="F53" s="22">
        <f>ROUND(P36*0.050295,0)</f>
        <v>1556402</v>
      </c>
      <c r="G53" s="22">
        <f>SUM(D53:F53)</f>
        <v>2961480</v>
      </c>
      <c r="I53" s="37" t="s">
        <v>29</v>
      </c>
      <c r="J53" s="98">
        <v>1E-3</v>
      </c>
      <c r="K53" s="90">
        <v>0</v>
      </c>
      <c r="M53" s="93" t="s">
        <v>63</v>
      </c>
      <c r="N53" s="64"/>
      <c r="O53" s="93"/>
      <c r="P53" s="93"/>
      <c r="Q53" s="93"/>
      <c r="R53" s="93"/>
      <c r="S53" s="64"/>
      <c r="T53" s="91"/>
      <c r="U53" s="91"/>
      <c r="V53" s="91"/>
    </row>
    <row r="54" spans="1:22" x14ac:dyDescent="0.2">
      <c r="A54" s="127"/>
      <c r="B54" s="102" t="s">
        <v>40</v>
      </c>
      <c r="C54" s="103"/>
      <c r="D54" s="44">
        <v>889909</v>
      </c>
      <c r="E54" s="44">
        <v>833395</v>
      </c>
      <c r="F54" s="44">
        <v>1908900</v>
      </c>
      <c r="G54" s="22">
        <f>SUM(D54:F54)</f>
        <v>3632204</v>
      </c>
      <c r="I54" s="37" t="s">
        <v>30</v>
      </c>
      <c r="J54" s="96">
        <v>2.0000000000000001E-4</v>
      </c>
      <c r="K54" s="90">
        <v>0</v>
      </c>
      <c r="M54" s="93" t="s">
        <v>64</v>
      </c>
      <c r="N54" s="64"/>
      <c r="O54" s="64"/>
      <c r="P54" s="64"/>
      <c r="Q54" s="64"/>
      <c r="R54" s="64"/>
      <c r="S54" s="64"/>
      <c r="T54" s="91"/>
      <c r="U54" s="91"/>
      <c r="V54" s="91"/>
    </row>
    <row r="55" spans="1:22" x14ac:dyDescent="0.2">
      <c r="A55" s="128"/>
      <c r="B55" s="104" t="s">
        <v>41</v>
      </c>
      <c r="C55" s="105"/>
      <c r="D55" s="86">
        <f>SUM(D52:D54)</f>
        <v>-3768639</v>
      </c>
      <c r="E55" s="86">
        <f>SUM(E52:E54)</f>
        <v>-3529312</v>
      </c>
      <c r="F55" s="86">
        <f>SUM(F52:F54)</f>
        <v>-8083920</v>
      </c>
      <c r="G55" s="81">
        <f>SUM(G52:G54)</f>
        <v>-15381871</v>
      </c>
      <c r="I55" s="37" t="s">
        <v>31</v>
      </c>
      <c r="J55" s="98">
        <v>3.2000000000000002E-3</v>
      </c>
      <c r="K55" s="90">
        <v>0</v>
      </c>
      <c r="M55" s="64"/>
      <c r="T55" s="91"/>
      <c r="U55" s="91"/>
      <c r="V55" s="91"/>
    </row>
    <row r="56" spans="1:22" x14ac:dyDescent="0.2">
      <c r="A56" s="129" t="s">
        <v>28</v>
      </c>
      <c r="B56" s="72" t="s">
        <v>78</v>
      </c>
      <c r="C56" s="73"/>
      <c r="D56" s="16">
        <f>IF(N37=0,0,(ROUND((N37-B20)*0.023447,0)))</f>
        <v>3909681</v>
      </c>
      <c r="E56" s="82">
        <f>IF(N37=0,0,(ROUND((N37-B20)*0.021958,0)))</f>
        <v>3661397</v>
      </c>
      <c r="F56" s="83">
        <f>IF(N37=0,0,(ROUND((N37-B20)*0.050295,0)))</f>
        <v>8386463</v>
      </c>
      <c r="G56" s="16">
        <f>SUM(D56:F56)</f>
        <v>15957541</v>
      </c>
      <c r="H56" s="84"/>
      <c r="I56" s="37" t="s">
        <v>32</v>
      </c>
      <c r="J56" s="89">
        <v>2.8999999999999998E-3</v>
      </c>
      <c r="K56" s="90">
        <v>0</v>
      </c>
      <c r="M56" s="64"/>
      <c r="N56" s="108"/>
      <c r="O56" s="108"/>
      <c r="P56" s="108"/>
      <c r="Q56" s="108"/>
      <c r="R56" s="108"/>
      <c r="S56" s="108"/>
      <c r="T56" s="91"/>
      <c r="U56" s="91"/>
      <c r="V56" s="91"/>
    </row>
    <row r="57" spans="1:22" x14ac:dyDescent="0.2">
      <c r="A57" s="127"/>
      <c r="B57" s="64" t="s">
        <v>79</v>
      </c>
      <c r="D57" s="22">
        <f>ROUND(P37*0.023447,0)</f>
        <v>692787</v>
      </c>
      <c r="E57" s="22">
        <f>ROUND(P37*0.021958,0)</f>
        <v>648791</v>
      </c>
      <c r="F57" s="22">
        <f>ROUND(P37*0.050295,0)</f>
        <v>1486062</v>
      </c>
      <c r="G57" s="22">
        <f>SUM(D57:F57)</f>
        <v>2827640</v>
      </c>
      <c r="I57" s="37" t="s">
        <v>33</v>
      </c>
      <c r="J57" s="106">
        <v>5.4999999999999997E-3</v>
      </c>
      <c r="K57" s="107">
        <v>0</v>
      </c>
      <c r="M57" s="108"/>
      <c r="N57" s="108"/>
      <c r="O57" s="108"/>
      <c r="P57" s="108"/>
      <c r="Q57" s="108"/>
      <c r="R57" s="108"/>
      <c r="S57" s="108"/>
      <c r="T57" s="91"/>
      <c r="U57" s="91"/>
      <c r="V57" s="91"/>
    </row>
    <row r="58" spans="1:22" x14ac:dyDescent="0.2">
      <c r="A58" s="127"/>
      <c r="B58" s="79" t="s">
        <v>40</v>
      </c>
      <c r="C58" s="79"/>
      <c r="D58" s="44">
        <v>889909</v>
      </c>
      <c r="E58" s="44">
        <v>833395</v>
      </c>
      <c r="F58" s="44">
        <v>1908900</v>
      </c>
      <c r="G58" s="22">
        <f>SUM(D58:F58)</f>
        <v>3632204</v>
      </c>
      <c r="H58" s="111"/>
      <c r="I58" s="33" t="s">
        <v>15</v>
      </c>
      <c r="J58" s="109">
        <f>(((J46+1)*(J47+1)*(J48+1)*(J49+1)*(J50+1)*(J51+1)*(J52+1)*(J53+1)*(J54+1)*(J55+1)*(J56+1)*(J57+1)-1))</f>
        <v>2.2806082706782194E-2</v>
      </c>
      <c r="K58" s="110">
        <f>(((K46+1)*(K47+1)*(K48+1)*(K49+1)*(K50+1)*(K51+1)*(K52+1)*(K53+1)*(K54+1)*(K55+1)*(K56+1)*(K57+1)-1))</f>
        <v>0</v>
      </c>
      <c r="L58" s="111"/>
      <c r="N58" s="64"/>
      <c r="O58" s="64"/>
      <c r="P58" s="64"/>
      <c r="Q58" s="64"/>
      <c r="R58" s="64"/>
      <c r="S58" s="64"/>
      <c r="T58" s="91"/>
      <c r="U58" s="91"/>
      <c r="V58" s="91"/>
    </row>
    <row r="59" spans="1:22" x14ac:dyDescent="0.2">
      <c r="A59" s="128"/>
      <c r="B59" s="80" t="s">
        <v>41</v>
      </c>
      <c r="C59" s="80"/>
      <c r="D59" s="86">
        <f>SUM(D56:D58)</f>
        <v>5492377</v>
      </c>
      <c r="E59" s="86">
        <f>SUM(E56:E58)</f>
        <v>5143583</v>
      </c>
      <c r="F59" s="86">
        <f>SUM(F56:F58)</f>
        <v>11781425</v>
      </c>
      <c r="G59" s="81">
        <f>SUM(G56:G58)</f>
        <v>22417385</v>
      </c>
      <c r="H59" s="111"/>
      <c r="I59" s="45"/>
      <c r="J59" s="112"/>
      <c r="K59" s="113"/>
      <c r="L59" s="111"/>
      <c r="N59" s="64"/>
      <c r="O59" s="93"/>
      <c r="P59" s="93"/>
      <c r="Q59" s="93"/>
      <c r="R59" s="93"/>
      <c r="S59" s="64"/>
      <c r="T59" s="91"/>
      <c r="U59" s="91"/>
      <c r="V59" s="91"/>
    </row>
    <row r="60" spans="1:22" x14ac:dyDescent="0.2">
      <c r="A60" s="126" t="s">
        <v>29</v>
      </c>
      <c r="B60" s="72" t="s">
        <v>80</v>
      </c>
      <c r="C60" s="73"/>
      <c r="D60" s="16">
        <f>IF(N38=0,0,(ROUND((N38-B21)*0.023447,0)))</f>
        <v>4755955</v>
      </c>
      <c r="E60" s="82">
        <f>IF(N38=0,0,(ROUND((N38-B21)*0.021958,0)))</f>
        <v>4453928</v>
      </c>
      <c r="F60" s="83">
        <f>IF(N38=0,0,(ROUND((N38-B21)*0.050295,0)))</f>
        <v>10201764</v>
      </c>
      <c r="G60" s="16">
        <f>SUM(D60:F60)</f>
        <v>19411647</v>
      </c>
      <c r="H60" s="111"/>
      <c r="I60" s="79"/>
      <c r="J60" s="111"/>
      <c r="K60" s="111"/>
      <c r="L60" s="111"/>
      <c r="N60" s="114"/>
      <c r="O60" s="93"/>
      <c r="P60" s="93"/>
      <c r="Q60" s="93"/>
      <c r="R60" s="93"/>
      <c r="S60" s="64"/>
      <c r="T60" s="91"/>
      <c r="U60" s="91"/>
      <c r="V60" s="91"/>
    </row>
    <row r="61" spans="1:22" x14ac:dyDescent="0.2">
      <c r="A61" s="127"/>
      <c r="B61" s="64" t="s">
        <v>81</v>
      </c>
      <c r="C61" s="79"/>
      <c r="D61" s="22">
        <f>ROUND(P38*0.023447,0)</f>
        <v>826107</v>
      </c>
      <c r="E61" s="22">
        <f>ROUND(P38*0.021958,0)</f>
        <v>773645</v>
      </c>
      <c r="F61" s="22">
        <f>ROUND(P38*0.050295,0)</f>
        <v>1772042</v>
      </c>
      <c r="G61" s="22">
        <f>SUM(D61:F61)</f>
        <v>3371794</v>
      </c>
      <c r="N61" s="64"/>
      <c r="O61" s="64"/>
      <c r="P61" s="64"/>
      <c r="Q61" s="64"/>
      <c r="R61" s="64"/>
      <c r="S61" s="64"/>
      <c r="T61" s="91"/>
      <c r="U61" s="91"/>
      <c r="V61" s="91"/>
    </row>
    <row r="62" spans="1:22" x14ac:dyDescent="0.2">
      <c r="A62" s="127"/>
      <c r="B62" s="79" t="s">
        <v>40</v>
      </c>
      <c r="C62" s="79"/>
      <c r="D62" s="44">
        <v>889909</v>
      </c>
      <c r="E62" s="44">
        <v>833395</v>
      </c>
      <c r="F62" s="44">
        <v>1908900</v>
      </c>
      <c r="G62" s="22">
        <f>SUM(D62:F62)</f>
        <v>3632204</v>
      </c>
      <c r="N62" s="64"/>
      <c r="O62" s="64"/>
      <c r="P62" s="64"/>
      <c r="Q62" s="64"/>
      <c r="R62" s="64"/>
      <c r="S62" s="64"/>
      <c r="T62" s="91"/>
      <c r="U62" s="91"/>
      <c r="V62" s="91"/>
    </row>
    <row r="63" spans="1:22" x14ac:dyDescent="0.2">
      <c r="A63" s="128"/>
      <c r="B63" s="80" t="s">
        <v>41</v>
      </c>
      <c r="C63" s="80"/>
      <c r="D63" s="86">
        <f>SUM(D60:D62)</f>
        <v>6471971</v>
      </c>
      <c r="E63" s="86">
        <f>SUM(E60:E62)</f>
        <v>6060968</v>
      </c>
      <c r="F63" s="86">
        <f>SUM(F60:F62)</f>
        <v>13882706</v>
      </c>
      <c r="G63" s="81">
        <f>SUM(G60:G62)</f>
        <v>26415645</v>
      </c>
      <c r="I63" s="60"/>
      <c r="N63" s="93"/>
      <c r="O63" s="64"/>
      <c r="P63" s="64"/>
      <c r="Q63" s="64"/>
      <c r="R63" s="64"/>
      <c r="S63" s="64"/>
      <c r="T63" s="91"/>
      <c r="U63" s="91"/>
      <c r="V63" s="91"/>
    </row>
    <row r="64" spans="1:22" x14ac:dyDescent="0.2">
      <c r="A64" s="126" t="s">
        <v>30</v>
      </c>
      <c r="B64" s="99" t="s">
        <v>82</v>
      </c>
      <c r="C64" s="100"/>
      <c r="D64" s="16">
        <f>IF(N39=0,0,(ROUND((N39-B22)*0.023447,0)))</f>
        <v>4007723</v>
      </c>
      <c r="E64" s="82">
        <f>IF(N39=0,0,(ROUND((N39-B22)*0.021958,0)))</f>
        <v>3753213</v>
      </c>
      <c r="F64" s="83">
        <f>IF(N39=0,0,(ROUND((N39-B22)*0.050295,0)))</f>
        <v>8596768</v>
      </c>
      <c r="G64" s="16">
        <f>SUM(D64:F64)</f>
        <v>16357704</v>
      </c>
      <c r="M64" s="115"/>
      <c r="N64" s="64"/>
      <c r="O64" s="116"/>
      <c r="P64" s="116"/>
      <c r="Q64" s="116"/>
      <c r="R64" s="64"/>
      <c r="S64" s="64"/>
      <c r="T64" s="91"/>
      <c r="U64" s="91"/>
      <c r="V64" s="91"/>
    </row>
    <row r="65" spans="1:22" x14ac:dyDescent="0.2">
      <c r="A65" s="127"/>
      <c r="B65" s="76" t="s">
        <v>83</v>
      </c>
      <c r="C65" s="103"/>
      <c r="D65" s="22">
        <f>ROUND(P39*0.023447,0)</f>
        <v>9512997</v>
      </c>
      <c r="E65" s="22">
        <f>ROUND(P39*0.021958,0)</f>
        <v>8908875</v>
      </c>
      <c r="F65" s="22">
        <f>ROUND(P39*0.050295,0)</f>
        <v>20405859</v>
      </c>
      <c r="G65" s="22">
        <f>SUM(D65:F65)</f>
        <v>38827731</v>
      </c>
      <c r="M65" s="115"/>
      <c r="N65" s="64"/>
      <c r="O65" s="117"/>
      <c r="P65" s="117"/>
      <c r="Q65" s="117"/>
      <c r="R65" s="64"/>
      <c r="S65" s="64"/>
      <c r="T65" s="91"/>
      <c r="U65" s="91"/>
      <c r="V65" s="91"/>
    </row>
    <row r="66" spans="1:22" x14ac:dyDescent="0.2">
      <c r="A66" s="127"/>
      <c r="B66" s="102" t="s">
        <v>40</v>
      </c>
      <c r="C66" s="103"/>
      <c r="D66" s="44">
        <v>889909</v>
      </c>
      <c r="E66" s="44">
        <v>833395</v>
      </c>
      <c r="F66" s="44">
        <v>1908900</v>
      </c>
      <c r="G66" s="22">
        <f>SUM(D66:F66)</f>
        <v>3632204</v>
      </c>
      <c r="I66" s="85"/>
      <c r="M66" s="93"/>
      <c r="N66" s="64"/>
      <c r="O66" s="64"/>
      <c r="P66" s="64"/>
      <c r="Q66" s="64"/>
      <c r="R66" s="64"/>
      <c r="S66" s="64"/>
      <c r="T66" s="91"/>
      <c r="U66" s="91"/>
      <c r="V66" s="91"/>
    </row>
    <row r="67" spans="1:22" x14ac:dyDescent="0.2">
      <c r="A67" s="128"/>
      <c r="B67" s="104" t="s">
        <v>41</v>
      </c>
      <c r="C67" s="105"/>
      <c r="D67" s="86">
        <f>SUM(D64:D66)</f>
        <v>14410629</v>
      </c>
      <c r="E67" s="86">
        <f>SUM(E64:E66)</f>
        <v>13495483</v>
      </c>
      <c r="F67" s="86">
        <f>SUM(F64:F66)</f>
        <v>30911527</v>
      </c>
      <c r="G67" s="81">
        <f>SUM(G64:G66)</f>
        <v>58817639</v>
      </c>
      <c r="I67" s="85"/>
      <c r="M67" s="64"/>
      <c r="N67" s="64"/>
      <c r="O67" s="93"/>
      <c r="P67" s="93"/>
      <c r="Q67" s="93"/>
      <c r="R67" s="93"/>
      <c r="S67" s="64"/>
      <c r="T67" s="91"/>
      <c r="U67" s="91"/>
      <c r="V67" s="91"/>
    </row>
    <row r="68" spans="1:22" x14ac:dyDescent="0.2">
      <c r="A68" s="126" t="s">
        <v>31</v>
      </c>
      <c r="B68" s="72" t="s">
        <v>84</v>
      </c>
      <c r="C68" s="73"/>
      <c r="D68" s="16">
        <f>IF(N40=0,0,(ROUND((N40-B23)*0.023447,0)))</f>
        <v>5744083</v>
      </c>
      <c r="E68" s="82">
        <f>IF(N40=0,0,(ROUND((N40-B23)*0.021958,0)))</f>
        <v>5379306</v>
      </c>
      <c r="F68" s="83">
        <f>IF(N40=0,0,(ROUND((N40-B23)*0.050295,0)))</f>
        <v>12321349</v>
      </c>
      <c r="G68" s="16">
        <f>SUM(D68:F68)</f>
        <v>23444738</v>
      </c>
      <c r="M68" s="114"/>
      <c r="N68" s="93"/>
      <c r="O68" s="64"/>
      <c r="P68" s="64"/>
      <c r="Q68" s="64"/>
      <c r="R68" s="93"/>
      <c r="S68" s="64"/>
      <c r="T68" s="91"/>
      <c r="U68" s="91"/>
      <c r="V68" s="91"/>
    </row>
    <row r="69" spans="1:22" x14ac:dyDescent="0.2">
      <c r="A69" s="127"/>
      <c r="B69" s="76" t="s">
        <v>85</v>
      </c>
      <c r="C69" s="79"/>
      <c r="D69" s="22">
        <f>ROUND(P40*0.023447,0)</f>
        <v>1700653</v>
      </c>
      <c r="E69" s="22">
        <f>ROUND(P40*0.021958,0)</f>
        <v>1592653</v>
      </c>
      <c r="F69" s="22">
        <f>ROUND(P40*0.050295,0)</f>
        <v>3647986</v>
      </c>
      <c r="G69" s="22">
        <f>SUM(D69:F69)</f>
        <v>6941292</v>
      </c>
      <c r="M69" s="118"/>
      <c r="N69" s="93"/>
      <c r="O69" s="64"/>
      <c r="P69" s="64"/>
      <c r="Q69" s="64"/>
      <c r="R69" s="93"/>
      <c r="S69" s="64"/>
      <c r="T69" s="119"/>
      <c r="U69" s="91"/>
      <c r="V69" s="91"/>
    </row>
    <row r="70" spans="1:22" x14ac:dyDescent="0.2">
      <c r="A70" s="127"/>
      <c r="B70" s="79" t="s">
        <v>40</v>
      </c>
      <c r="C70" s="79"/>
      <c r="D70" s="44">
        <v>889909</v>
      </c>
      <c r="E70" s="44">
        <v>833395</v>
      </c>
      <c r="F70" s="44">
        <v>1908900</v>
      </c>
      <c r="G70" s="22">
        <f>SUM(D70:F70)</f>
        <v>3632204</v>
      </c>
      <c r="M70" s="63"/>
      <c r="N70" s="64"/>
      <c r="O70" s="93"/>
      <c r="P70" s="93"/>
      <c r="Q70" s="93"/>
      <c r="R70" s="93"/>
      <c r="S70" s="64"/>
      <c r="T70" s="91"/>
      <c r="U70" s="91"/>
      <c r="V70" s="91"/>
    </row>
    <row r="71" spans="1:22" x14ac:dyDescent="0.2">
      <c r="A71" s="128"/>
      <c r="B71" s="80" t="s">
        <v>41</v>
      </c>
      <c r="C71" s="80"/>
      <c r="D71" s="86">
        <f>SUM(D68:D70)</f>
        <v>8334645</v>
      </c>
      <c r="E71" s="86">
        <f>SUM(E68:E70)</f>
        <v>7805354</v>
      </c>
      <c r="F71" s="86">
        <f>SUM(F68:F70)</f>
        <v>17878235</v>
      </c>
      <c r="G71" s="81">
        <f>SUM(G68:G70)</f>
        <v>34018234</v>
      </c>
      <c r="M71" s="118"/>
      <c r="N71" s="64"/>
      <c r="O71" s="93"/>
      <c r="P71" s="93"/>
      <c r="Q71" s="93"/>
      <c r="R71" s="93"/>
      <c r="S71" s="64"/>
      <c r="T71" s="91"/>
      <c r="U71" s="91"/>
      <c r="V71" s="91"/>
    </row>
    <row r="72" spans="1:22" x14ac:dyDescent="0.2">
      <c r="A72" s="126" t="s">
        <v>32</v>
      </c>
      <c r="B72" s="72" t="s">
        <v>86</v>
      </c>
      <c r="C72" s="73"/>
      <c r="D72" s="16">
        <f>IF(N41=0,0,(ROUND((N41-B24)*0.023447,0)))</f>
        <v>-1238806</v>
      </c>
      <c r="E72" s="82">
        <f>IF(N41=0,0,(ROUND((N41-B24)*0.021958,0)))</f>
        <v>-1160136</v>
      </c>
      <c r="F72" s="83">
        <f>IF(N41=0,0,(ROUND((N41-B24)*0.050295,0)))</f>
        <v>-2657301</v>
      </c>
      <c r="G72" s="16">
        <f>SUM(D72:F72)</f>
        <v>-5056243</v>
      </c>
      <c r="M72" s="118"/>
      <c r="N72" s="64"/>
      <c r="O72" s="93"/>
      <c r="P72" s="93"/>
      <c r="Q72" s="93"/>
      <c r="R72" s="64"/>
      <c r="S72" s="64"/>
      <c r="T72" s="91"/>
      <c r="U72" s="91"/>
      <c r="V72" s="91"/>
    </row>
    <row r="73" spans="1:22" x14ac:dyDescent="0.2">
      <c r="A73" s="127"/>
      <c r="B73" s="76" t="s">
        <v>87</v>
      </c>
      <c r="C73" s="79"/>
      <c r="D73" s="22">
        <f>ROUND(P41*0.023447,0)</f>
        <v>1773326</v>
      </c>
      <c r="E73" s="22">
        <f>ROUND(P41*0.021958,0)</f>
        <v>1660711</v>
      </c>
      <c r="F73" s="22">
        <f>ROUND(P41*0.050295,0)</f>
        <v>3803874</v>
      </c>
      <c r="G73" s="22">
        <f>SUM(D73:F73)</f>
        <v>7237911</v>
      </c>
      <c r="M73" s="63"/>
      <c r="N73" s="64"/>
      <c r="O73" s="63"/>
      <c r="P73" s="63"/>
      <c r="Q73" s="63"/>
      <c r="R73" s="63"/>
      <c r="S73" s="64"/>
      <c r="T73" s="91"/>
      <c r="U73" s="91"/>
      <c r="V73" s="91"/>
    </row>
    <row r="74" spans="1:22" x14ac:dyDescent="0.2">
      <c r="A74" s="127"/>
      <c r="B74" s="78" t="s">
        <v>40</v>
      </c>
      <c r="C74" s="79"/>
      <c r="D74" s="44">
        <v>889909</v>
      </c>
      <c r="E74" s="44">
        <v>833395</v>
      </c>
      <c r="F74" s="44">
        <v>1908900</v>
      </c>
      <c r="G74" s="22">
        <f>SUM(D74:F74)</f>
        <v>3632204</v>
      </c>
      <c r="M74" s="118"/>
      <c r="N74" s="64"/>
      <c r="O74" s="120"/>
      <c r="P74" s="120"/>
      <c r="Q74" s="120"/>
      <c r="R74" s="63"/>
      <c r="S74" s="64"/>
      <c r="T74" s="91"/>
      <c r="U74" s="91"/>
      <c r="V74" s="91"/>
    </row>
    <row r="75" spans="1:22" x14ac:dyDescent="0.2">
      <c r="A75" s="128"/>
      <c r="B75" s="80" t="s">
        <v>41</v>
      </c>
      <c r="C75" s="80"/>
      <c r="D75" s="86">
        <f>SUM(D72:D74)</f>
        <v>1424429</v>
      </c>
      <c r="E75" s="86">
        <f>SUM(E72:E74)</f>
        <v>1333970</v>
      </c>
      <c r="F75" s="86">
        <f>SUM(F72:F74)</f>
        <v>3055473</v>
      </c>
      <c r="G75" s="81">
        <f>SUM(G72:G74)</f>
        <v>5813872</v>
      </c>
      <c r="M75" s="118"/>
      <c r="N75" s="64"/>
      <c r="O75" s="61"/>
      <c r="P75" s="61"/>
      <c r="Q75" s="61"/>
      <c r="R75" s="63"/>
      <c r="S75" s="64"/>
      <c r="T75" s="91"/>
      <c r="U75" s="91"/>
      <c r="V75" s="91"/>
    </row>
    <row r="76" spans="1:22" x14ac:dyDescent="0.2">
      <c r="A76" s="126" t="s">
        <v>33</v>
      </c>
      <c r="B76" s="72" t="s">
        <v>88</v>
      </c>
      <c r="C76" s="73"/>
      <c r="D76" s="16">
        <f>IF(N42=0,0,(ROUND((N42-B25)*0.023447,0)))</f>
        <v>5125413</v>
      </c>
      <c r="E76" s="82">
        <f>IF(N42=0,0,(ROUND((N42-B25)*0.021958,0)))</f>
        <v>4799924</v>
      </c>
      <c r="F76" s="83">
        <f>IF(N42=0,0,(ROUND((N42-B25)*0.050295,0)))</f>
        <v>10994270</v>
      </c>
      <c r="G76" s="16">
        <f>SUM(D76:F76)</f>
        <v>20919607</v>
      </c>
      <c r="M76" s="63"/>
      <c r="N76" s="64"/>
      <c r="O76" s="64"/>
      <c r="P76" s="64"/>
      <c r="Q76" s="64"/>
      <c r="R76" s="64"/>
      <c r="S76" s="64"/>
      <c r="T76" s="91"/>
      <c r="U76" s="91"/>
      <c r="V76" s="91"/>
    </row>
    <row r="77" spans="1:22" x14ac:dyDescent="0.2">
      <c r="A77" s="127"/>
      <c r="B77" s="76" t="s">
        <v>89</v>
      </c>
      <c r="C77" s="79"/>
      <c r="D77" s="22">
        <f>ROUND(P42*0.023447,0)</f>
        <v>1660157</v>
      </c>
      <c r="E77" s="22">
        <f>ROUND(P42*0.021958,0)</f>
        <v>1554729</v>
      </c>
      <c r="F77" s="22">
        <f>ROUND(P42*0.050295,0)</f>
        <v>3561120</v>
      </c>
      <c r="G77" s="22">
        <f>SUM(D77:F77)</f>
        <v>6776006</v>
      </c>
      <c r="M77" s="118"/>
      <c r="N77" s="64"/>
      <c r="O77" s="64"/>
      <c r="P77" s="64"/>
      <c r="Q77" s="64"/>
      <c r="R77" s="64"/>
      <c r="S77" s="64"/>
      <c r="T77" s="91"/>
      <c r="U77" s="91"/>
      <c r="V77" s="91"/>
    </row>
    <row r="78" spans="1:22" ht="12" customHeight="1" x14ac:dyDescent="0.2">
      <c r="A78" s="127"/>
      <c r="B78" s="79" t="s">
        <v>40</v>
      </c>
      <c r="C78" s="79"/>
      <c r="D78" s="44">
        <v>889909</v>
      </c>
      <c r="E78" s="44">
        <v>833395</v>
      </c>
      <c r="F78" s="44">
        <v>1908900</v>
      </c>
      <c r="G78" s="22">
        <f>SUM(D78:F78)</f>
        <v>3632204</v>
      </c>
      <c r="M78" s="118"/>
      <c r="N78" s="64"/>
      <c r="O78" s="64"/>
      <c r="P78" s="64"/>
      <c r="Q78" s="64"/>
      <c r="R78" s="64"/>
      <c r="S78" s="64"/>
      <c r="T78" s="91"/>
      <c r="U78" s="91"/>
      <c r="V78" s="91"/>
    </row>
    <row r="79" spans="1:22" x14ac:dyDescent="0.2">
      <c r="A79" s="128"/>
      <c r="B79" s="80" t="s">
        <v>41</v>
      </c>
      <c r="C79" s="80"/>
      <c r="D79" s="86">
        <f>SUM(D76:D78)</f>
        <v>7675479</v>
      </c>
      <c r="E79" s="86">
        <f>SUM(E76:E78)</f>
        <v>7188048</v>
      </c>
      <c r="F79" s="86">
        <f>SUM(F76:F78)</f>
        <v>16464290</v>
      </c>
      <c r="G79" s="81">
        <f>SUM(G76:G78)</f>
        <v>31327817</v>
      </c>
      <c r="M79" s="63"/>
      <c r="N79" s="64"/>
      <c r="O79" s="93"/>
      <c r="P79" s="93"/>
      <c r="Q79" s="93"/>
      <c r="R79" s="93"/>
      <c r="S79" s="64"/>
      <c r="T79" s="91"/>
      <c r="U79" s="91"/>
      <c r="V79" s="91"/>
    </row>
    <row r="80" spans="1:22" x14ac:dyDescent="0.2">
      <c r="E80" s="84"/>
      <c r="M80" s="118"/>
      <c r="N80" s="64"/>
      <c r="O80" s="93"/>
      <c r="P80" s="93"/>
      <c r="Q80" s="93"/>
      <c r="R80" s="93"/>
      <c r="S80" s="64"/>
      <c r="T80" s="91"/>
      <c r="U80" s="91"/>
      <c r="V80" s="91"/>
    </row>
    <row r="81" spans="1:22" x14ac:dyDescent="0.2">
      <c r="A81" s="121"/>
      <c r="E81" s="84"/>
      <c r="M81" s="118"/>
      <c r="N81" s="64"/>
      <c r="O81" s="93"/>
      <c r="P81" s="93"/>
      <c r="Q81" s="93"/>
      <c r="R81" s="64"/>
      <c r="S81" s="64"/>
      <c r="T81" s="91"/>
      <c r="U81" s="91"/>
      <c r="V81" s="91"/>
    </row>
    <row r="82" spans="1:22" ht="12.75" customHeight="1" x14ac:dyDescent="0.2">
      <c r="E82" s="84"/>
      <c r="M82" s="64"/>
      <c r="N82" s="64"/>
      <c r="O82" s="64"/>
      <c r="P82" s="64"/>
      <c r="Q82" s="64"/>
      <c r="R82" s="64"/>
      <c r="S82" s="64"/>
      <c r="T82" s="91"/>
      <c r="U82" s="91"/>
      <c r="V82" s="91"/>
    </row>
    <row r="83" spans="1:22" x14ac:dyDescent="0.2">
      <c r="E83" s="84"/>
      <c r="M83" s="118"/>
      <c r="N83" s="64"/>
      <c r="O83" s="64"/>
      <c r="P83" s="64"/>
      <c r="Q83" s="64"/>
      <c r="R83" s="64"/>
      <c r="S83" s="64"/>
      <c r="T83" s="91"/>
      <c r="U83" s="91"/>
      <c r="V83" s="91"/>
    </row>
    <row r="84" spans="1:22" x14ac:dyDescent="0.2">
      <c r="E84" s="84"/>
      <c r="M84" s="118"/>
      <c r="N84" s="64"/>
      <c r="O84" s="64"/>
      <c r="P84" s="64"/>
      <c r="Q84" s="64"/>
      <c r="R84" s="64"/>
      <c r="S84" s="64"/>
      <c r="T84" s="91"/>
      <c r="U84" s="91"/>
      <c r="V84" s="91"/>
    </row>
    <row r="85" spans="1:22" x14ac:dyDescent="0.2">
      <c r="A85" s="92"/>
      <c r="M85" s="118"/>
      <c r="N85" s="64"/>
      <c r="O85" s="64"/>
      <c r="P85" s="64"/>
      <c r="Q85" s="64"/>
      <c r="R85" s="64"/>
      <c r="S85" s="64"/>
      <c r="T85" s="91"/>
      <c r="U85" s="91"/>
      <c r="V85" s="91"/>
    </row>
    <row r="86" spans="1:22" ht="8.1" customHeight="1" x14ac:dyDescent="0.2">
      <c r="M86" s="91"/>
      <c r="N86" s="91"/>
      <c r="O86" s="91"/>
      <c r="P86" s="91"/>
      <c r="Q86" s="91"/>
      <c r="R86" s="91"/>
      <c r="S86" s="91"/>
      <c r="T86" s="91"/>
      <c r="U86" s="91"/>
      <c r="V86" s="91"/>
    </row>
    <row r="87" spans="1:22" x14ac:dyDescent="0.2">
      <c r="M87" s="122"/>
      <c r="N87" s="91"/>
      <c r="O87" s="123"/>
      <c r="P87" s="123"/>
      <c r="Q87" s="123"/>
      <c r="R87" s="123"/>
      <c r="S87" s="91"/>
      <c r="T87" s="91"/>
      <c r="U87" s="91"/>
      <c r="V87" s="91"/>
    </row>
    <row r="88" spans="1:22" x14ac:dyDescent="0.2">
      <c r="M88" s="124"/>
      <c r="N88" s="91"/>
      <c r="O88" s="123"/>
      <c r="P88" s="123"/>
      <c r="Q88" s="123"/>
      <c r="R88" s="123"/>
      <c r="S88" s="91"/>
      <c r="T88" s="91"/>
      <c r="U88" s="91"/>
      <c r="V88" s="91"/>
    </row>
    <row r="89" spans="1:22" x14ac:dyDescent="0.2">
      <c r="M89" s="124"/>
      <c r="N89" s="91"/>
      <c r="O89" s="123"/>
      <c r="P89" s="123"/>
      <c r="Q89" s="123"/>
      <c r="R89" s="91"/>
      <c r="S89" s="91"/>
      <c r="T89" s="91"/>
      <c r="U89" s="91"/>
      <c r="V89" s="91"/>
    </row>
    <row r="90" spans="1:22" x14ac:dyDescent="0.2">
      <c r="M90" s="124"/>
      <c r="N90" s="91"/>
      <c r="O90" s="123"/>
      <c r="P90" s="123"/>
      <c r="Q90" s="123"/>
      <c r="R90" s="91"/>
      <c r="S90" s="91"/>
      <c r="T90" s="91"/>
      <c r="U90" s="91"/>
      <c r="V90" s="91"/>
    </row>
    <row r="91" spans="1:22" x14ac:dyDescent="0.2">
      <c r="M91" s="91"/>
      <c r="N91" s="91"/>
      <c r="O91" s="91"/>
      <c r="P91" s="91"/>
      <c r="Q91" s="91"/>
      <c r="R91" s="91"/>
      <c r="S91" s="91"/>
      <c r="T91" s="91"/>
      <c r="U91" s="91"/>
      <c r="V91" s="91"/>
    </row>
    <row r="92" spans="1:22" x14ac:dyDescent="0.2">
      <c r="M92" s="91"/>
      <c r="N92" s="91"/>
      <c r="O92" s="91"/>
      <c r="P92" s="91"/>
      <c r="Q92" s="91"/>
      <c r="R92" s="91"/>
      <c r="S92" s="91"/>
    </row>
  </sheetData>
  <dataConsolidate/>
  <mergeCells count="61">
    <mergeCell ref="R35:S35"/>
    <mergeCell ref="R34:S34"/>
    <mergeCell ref="R43:S43"/>
    <mergeCell ref="R42:S42"/>
    <mergeCell ref="R41:S41"/>
    <mergeCell ref="R40:S40"/>
    <mergeCell ref="R39:S39"/>
    <mergeCell ref="N43:O43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R44:S44"/>
    <mergeCell ref="N44:O44"/>
    <mergeCell ref="P44:Q44"/>
    <mergeCell ref="P31:Q31"/>
    <mergeCell ref="P32:Q32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A32:A35"/>
    <mergeCell ref="A36:A39"/>
    <mergeCell ref="A1:S1"/>
    <mergeCell ref="A3:S3"/>
    <mergeCell ref="A5:S5"/>
    <mergeCell ref="A7:S7"/>
    <mergeCell ref="N31:O31"/>
    <mergeCell ref="C10:F11"/>
    <mergeCell ref="G10:J10"/>
    <mergeCell ref="G11:J11"/>
    <mergeCell ref="R31:S31"/>
    <mergeCell ref="R32:S32"/>
    <mergeCell ref="R33:S33"/>
    <mergeCell ref="R38:S38"/>
    <mergeCell ref="R37:S37"/>
    <mergeCell ref="R36:S36"/>
    <mergeCell ref="A76:A7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</mergeCells>
  <phoneticPr fontId="0" type="noConversion"/>
  <printOptions horizontalCentered="1"/>
  <pageMargins left="7.874015748031496E-2" right="7.874015748031496E-2" top="0.39370078740157483" bottom="0" header="0" footer="0"/>
  <pageSetup paperSize="9" scale="53" orientation="landscape" r:id="rId1"/>
  <headerFooter alignWithMargins="0">
    <oddFooter>&amp;L&amp;8AEPLAN, &amp;D
&amp;Z&amp;F.xlsx</oddFooter>
  </headerFooter>
  <ignoredErrors>
    <ignoredError sqref="G35 G39:G49 G51:G79" formula="1"/>
    <ignoredError sqref="P16:R17 P18:R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2017</vt:lpstr>
      <vt:lpstr>'2017'!Area_de_impressao</vt:lpstr>
    </vt:vector>
  </TitlesOfParts>
  <Company>UNICAMP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AEPLAN</dc:creator>
  <cp:lastModifiedBy>Bahiji Haje</cp:lastModifiedBy>
  <cp:lastPrinted>2018-01-17T12:05:19Z</cp:lastPrinted>
  <dcterms:created xsi:type="dcterms:W3CDTF">2008-01-15T19:01:40Z</dcterms:created>
  <dcterms:modified xsi:type="dcterms:W3CDTF">2018-01-24T17:33:53Z</dcterms:modified>
</cp:coreProperties>
</file>